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0. ปี 2565\1.รายงานแผนงาน-ผลงาน ปี 65\2.ภาพรวมรายภาค\3.ภาคกลาง\"/>
    </mc:Choice>
  </mc:AlternateContent>
  <xr:revisionPtr revIDLastSave="0" documentId="13_ncr:1_{03001E16-DF4E-4214-9802-6200B85130AB}" xr6:coauthVersionLast="37" xr6:coauthVersionMax="37" xr10:uidLastSave="{00000000-0000-0000-0000-000000000000}"/>
  <bookViews>
    <workbookView xWindow="0" yWindow="0" windowWidth="24000" windowHeight="9525" tabRatio="823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Titles" localSheetId="1">กาญจนบุรี!$1:$5</definedName>
    <definedName name="_xlnm.Print_Titles" localSheetId="2">จันทบุรี!$1:$5</definedName>
    <definedName name="_xlnm.Print_Titles" localSheetId="3">ฉะเชิงเทรา!$1:$5</definedName>
    <definedName name="_xlnm.Print_Titles" localSheetId="4">ชลบุรี!$1:$5</definedName>
    <definedName name="_xlnm.Print_Titles" localSheetId="5">ชัยนาท!$1:$5</definedName>
    <definedName name="_xlnm.Print_Titles" localSheetId="6">ตราด!$1:$5</definedName>
    <definedName name="_xlnm.Print_Titles" localSheetId="7">นครนายก!$1:$5</definedName>
    <definedName name="_xlnm.Print_Titles" localSheetId="8">นครปฐม!$1:$5</definedName>
    <definedName name="_xlnm.Print_Titles" localSheetId="9">ปทุมธานี!$1:$5</definedName>
    <definedName name="_xlnm.Print_Titles" localSheetId="10">ประจวบคีรีขันธ์!$1:$5</definedName>
    <definedName name="_xlnm.Print_Titles" localSheetId="11">ปราจีนบุรี!$1:$5</definedName>
    <definedName name="_xlnm.Print_Titles" localSheetId="12">พระนครศรีอยุธยา!$1:$5</definedName>
    <definedName name="_xlnm.Print_Titles" localSheetId="13">เพชรบุรี!$1:$5</definedName>
    <definedName name="_xlnm.Print_Titles" localSheetId="0">รวมกลาง!$1:$5</definedName>
    <definedName name="_xlnm.Print_Titles" localSheetId="14">ระยอง!$1:$5</definedName>
    <definedName name="_xlnm.Print_Titles" localSheetId="15">ราชบุรี!$1:$5</definedName>
    <definedName name="_xlnm.Print_Titles" localSheetId="16">ลพบุรี!$1:$5</definedName>
    <definedName name="_xlnm.Print_Titles" localSheetId="17">สระแก้ว!$1:$5</definedName>
    <definedName name="_xlnm.Print_Titles" localSheetId="18">สระบุรี!$1:$5</definedName>
    <definedName name="_xlnm.Print_Titles" localSheetId="19">สิงห์บุรี!$1:$5</definedName>
    <definedName name="_xlnm.Print_Titles" localSheetId="20">สุพรรณบุรี!$1:$5</definedName>
    <definedName name="_xlnm.Print_Titles" localSheetId="21">อ่างทอง!$1:$5</definedName>
  </definedNames>
  <calcPr calcId="179021"/>
</workbook>
</file>

<file path=xl/calcChain.xml><?xml version="1.0" encoding="utf-8"?>
<calcChain xmlns="http://schemas.openxmlformats.org/spreadsheetml/2006/main">
  <c r="J528" i="22" l="1"/>
  <c r="I528" i="22"/>
  <c r="J527" i="22"/>
  <c r="I527" i="22"/>
  <c r="J526" i="22"/>
  <c r="I526" i="22"/>
  <c r="K526" i="22" s="1"/>
  <c r="J525" i="22"/>
  <c r="I525" i="22"/>
  <c r="K525" i="22" s="1"/>
  <c r="J524" i="22"/>
  <c r="I524" i="22"/>
  <c r="J523" i="22"/>
  <c r="I523" i="22"/>
  <c r="J522" i="22"/>
  <c r="I522" i="22"/>
  <c r="J521" i="22"/>
  <c r="I521" i="22"/>
  <c r="J517" i="22"/>
  <c r="I517" i="22"/>
  <c r="J514" i="22"/>
  <c r="J513" i="22" s="1"/>
  <c r="I514" i="22"/>
  <c r="I513" i="22"/>
  <c r="K519" i="22" s="1"/>
  <c r="J510" i="22"/>
  <c r="I510" i="22"/>
  <c r="J504" i="22"/>
  <c r="J490" i="22" s="1"/>
  <c r="I504" i="22"/>
  <c r="M494" i="22"/>
  <c r="L494" i="22"/>
  <c r="N494" i="22" s="1"/>
  <c r="L493" i="22"/>
  <c r="N493" i="22" s="1"/>
  <c r="M492" i="22"/>
  <c r="N491" i="22"/>
  <c r="M490" i="22"/>
  <c r="J489" i="22"/>
  <c r="I489" i="22"/>
  <c r="K489" i="22" s="1"/>
  <c r="J488" i="22"/>
  <c r="J473" i="22" s="1"/>
  <c r="I488" i="22"/>
  <c r="K488" i="22" s="1"/>
  <c r="J487" i="22"/>
  <c r="I487" i="22"/>
  <c r="K487" i="22" s="1"/>
  <c r="J486" i="22"/>
  <c r="I486" i="22"/>
  <c r="K486" i="22" s="1"/>
  <c r="J485" i="22"/>
  <c r="I485" i="22"/>
  <c r="K485" i="22" s="1"/>
  <c r="J484" i="22"/>
  <c r="I484" i="22"/>
  <c r="J483" i="22"/>
  <c r="I483" i="22"/>
  <c r="K483" i="22" s="1"/>
  <c r="J482" i="22"/>
  <c r="I482" i="22"/>
  <c r="K482" i="22" s="1"/>
  <c r="M477" i="22"/>
  <c r="M475" i="22" s="1"/>
  <c r="M473" i="22" s="1"/>
  <c r="L477" i="22"/>
  <c r="N477" i="22" s="1"/>
  <c r="L476" i="22"/>
  <c r="N474" i="22"/>
  <c r="K472" i="22"/>
  <c r="K471" i="22"/>
  <c r="K470" i="22"/>
  <c r="K469" i="22"/>
  <c r="K468" i="22"/>
  <c r="J466" i="22"/>
  <c r="I466" i="22"/>
  <c r="I457" i="22" s="1"/>
  <c r="M461" i="22"/>
  <c r="L461" i="22"/>
  <c r="L460" i="22"/>
  <c r="N460" i="22" s="1"/>
  <c r="M459" i="22"/>
  <c r="N458" i="22"/>
  <c r="M457" i="22"/>
  <c r="I456" i="22"/>
  <c r="K456" i="22" s="1"/>
  <c r="I455" i="22"/>
  <c r="K455" i="22" s="1"/>
  <c r="I454" i="22"/>
  <c r="K454" i="22" s="1"/>
  <c r="I453" i="22"/>
  <c r="M448" i="22"/>
  <c r="L448" i="22"/>
  <c r="N448" i="22" s="1"/>
  <c r="L447" i="22"/>
  <c r="M446" i="22"/>
  <c r="N445" i="22"/>
  <c r="M444" i="22"/>
  <c r="J444" i="22"/>
  <c r="I441" i="22"/>
  <c r="K441" i="22" s="1"/>
  <c r="I440" i="22"/>
  <c r="M430" i="22"/>
  <c r="L430" i="22"/>
  <c r="N430" i="22" s="1"/>
  <c r="L429" i="22"/>
  <c r="M428" i="22"/>
  <c r="N427" i="22"/>
  <c r="M426" i="22"/>
  <c r="J426" i="22"/>
  <c r="K425" i="22"/>
  <c r="K424" i="22"/>
  <c r="K423" i="22"/>
  <c r="K422" i="22"/>
  <c r="K421" i="22"/>
  <c r="K420" i="22"/>
  <c r="K417" i="22"/>
  <c r="J417" i="22"/>
  <c r="I419" i="22" s="1"/>
  <c r="K419" i="22" s="1"/>
  <c r="K416" i="22"/>
  <c r="J416" i="22"/>
  <c r="I418" i="22" s="1"/>
  <c r="K418" i="22" s="1"/>
  <c r="K415" i="22"/>
  <c r="J415" i="22"/>
  <c r="K414" i="22"/>
  <c r="J414" i="22"/>
  <c r="K413" i="22"/>
  <c r="J413" i="22"/>
  <c r="K412" i="22"/>
  <c r="J412" i="22"/>
  <c r="I411" i="22"/>
  <c r="K411" i="22" s="1"/>
  <c r="I410" i="22"/>
  <c r="K410" i="22" s="1"/>
  <c r="I409" i="22"/>
  <c r="K409" i="22" s="1"/>
  <c r="K408" i="22"/>
  <c r="K407" i="22"/>
  <c r="K406" i="22"/>
  <c r="K405" i="22"/>
  <c r="K404" i="22"/>
  <c r="K403" i="22"/>
  <c r="K402" i="22"/>
  <c r="J402" i="22"/>
  <c r="K401" i="22"/>
  <c r="J401" i="22"/>
  <c r="J391" i="22" s="1"/>
  <c r="J390" i="22" s="1"/>
  <c r="K400" i="22"/>
  <c r="K399" i="22"/>
  <c r="K398" i="22"/>
  <c r="K397" i="22"/>
  <c r="K396" i="22"/>
  <c r="K395" i="22"/>
  <c r="K394" i="22"/>
  <c r="J394" i="22"/>
  <c r="K393" i="22"/>
  <c r="J393" i="22"/>
  <c r="J392" i="22"/>
  <c r="I392" i="22"/>
  <c r="K392" i="22" s="1"/>
  <c r="I391" i="22"/>
  <c r="K391" i="22" s="1"/>
  <c r="I390" i="22"/>
  <c r="K390" i="22" s="1"/>
  <c r="K389" i="22"/>
  <c r="K388" i="22"/>
  <c r="K387" i="22"/>
  <c r="K386" i="22"/>
  <c r="K385" i="22"/>
  <c r="K384" i="22"/>
  <c r="K383" i="22"/>
  <c r="J383" i="22"/>
  <c r="J377" i="22" s="1"/>
  <c r="K382" i="22"/>
  <c r="J382" i="22"/>
  <c r="K381" i="22"/>
  <c r="K380" i="22"/>
  <c r="K379" i="22"/>
  <c r="K378" i="22"/>
  <c r="J376" i="22"/>
  <c r="J359" i="22" s="1"/>
  <c r="K375" i="22"/>
  <c r="K374" i="22"/>
  <c r="K373" i="22"/>
  <c r="K372" i="22"/>
  <c r="K371" i="22"/>
  <c r="K370" i="22"/>
  <c r="J369" i="22"/>
  <c r="J368" i="22"/>
  <c r="K367" i="22"/>
  <c r="K366" i="22"/>
  <c r="K365" i="22"/>
  <c r="K364" i="22"/>
  <c r="K363" i="22"/>
  <c r="K362" i="22"/>
  <c r="J361" i="22"/>
  <c r="I361" i="22"/>
  <c r="I377" i="22" s="1"/>
  <c r="K377" i="22" s="1"/>
  <c r="J360" i="22"/>
  <c r="I360" i="22"/>
  <c r="K360" i="22" s="1"/>
  <c r="I359" i="22"/>
  <c r="I350" i="22" s="1"/>
  <c r="K350" i="22" s="1"/>
  <c r="M354" i="22"/>
  <c r="M352" i="22" s="1"/>
  <c r="M350" i="22" s="1"/>
  <c r="L354" i="22"/>
  <c r="N354" i="22" s="1"/>
  <c r="L353" i="22"/>
  <c r="N351" i="22"/>
  <c r="J350" i="22"/>
  <c r="I347" i="22"/>
  <c r="K347" i="22" s="1"/>
  <c r="I346" i="22"/>
  <c r="K346" i="22" s="1"/>
  <c r="I345" i="22"/>
  <c r="J344" i="22"/>
  <c r="M334" i="22"/>
  <c r="M332" i="22" s="1"/>
  <c r="M330" i="22" s="1"/>
  <c r="L334" i="22"/>
  <c r="N334" i="22" s="1"/>
  <c r="L333" i="22"/>
  <c r="N331" i="22"/>
  <c r="J330" i="22"/>
  <c r="I327" i="22"/>
  <c r="K327" i="22" s="1"/>
  <c r="I326" i="22"/>
  <c r="J325" i="22"/>
  <c r="I324" i="22"/>
  <c r="K324" i="22" s="1"/>
  <c r="I323" i="22"/>
  <c r="K323" i="22" s="1"/>
  <c r="I322" i="22"/>
  <c r="K322" i="22" s="1"/>
  <c r="J321" i="22"/>
  <c r="I321" i="22"/>
  <c r="I320" i="22"/>
  <c r="K320" i="22" s="1"/>
  <c r="I319" i="22"/>
  <c r="K319" i="22" s="1"/>
  <c r="I318" i="22"/>
  <c r="K318" i="22" s="1"/>
  <c r="I317" i="22"/>
  <c r="K317" i="22" s="1"/>
  <c r="J316" i="22"/>
  <c r="I316" i="22"/>
  <c r="I315" i="22"/>
  <c r="K315" i="22" s="1"/>
  <c r="I314" i="22"/>
  <c r="K314" i="22" s="1"/>
  <c r="I313" i="22"/>
  <c r="J312" i="22"/>
  <c r="I312" i="22"/>
  <c r="K312" i="22" s="1"/>
  <c r="J311" i="22"/>
  <c r="J297" i="22" s="1"/>
  <c r="M301" i="22"/>
  <c r="L301" i="22"/>
  <c r="N301" i="22" s="1"/>
  <c r="L300" i="22"/>
  <c r="M299" i="22"/>
  <c r="M296" i="22" s="1"/>
  <c r="N298" i="22"/>
  <c r="J296" i="22"/>
  <c r="I293" i="22"/>
  <c r="K293" i="22" s="1"/>
  <c r="I292" i="22"/>
  <c r="K292" i="22" s="1"/>
  <c r="I291" i="22"/>
  <c r="K291" i="22" s="1"/>
  <c r="M280" i="22"/>
  <c r="L280" i="22"/>
  <c r="N280" i="22" s="1"/>
  <c r="L279" i="22"/>
  <c r="M278" i="22"/>
  <c r="M275" i="22" s="1"/>
  <c r="N277" i="22"/>
  <c r="J276" i="22"/>
  <c r="J275" i="22"/>
  <c r="I272" i="22"/>
  <c r="K272" i="22" s="1"/>
  <c r="I271" i="22"/>
  <c r="K271" i="22" s="1"/>
  <c r="J270" i="22"/>
  <c r="J244" i="22" s="1"/>
  <c r="I268" i="22"/>
  <c r="K268" i="22" s="1"/>
  <c r="I266" i="22"/>
  <c r="K266" i="22" s="1"/>
  <c r="I264" i="22"/>
  <c r="J263" i="22"/>
  <c r="I263" i="22"/>
  <c r="I245" i="22" s="1"/>
  <c r="J262" i="22"/>
  <c r="I260" i="22"/>
  <c r="K260" i="22" s="1"/>
  <c r="J259" i="22"/>
  <c r="M249" i="22"/>
  <c r="L249" i="22"/>
  <c r="N249" i="22" s="1"/>
  <c r="L248" i="22"/>
  <c r="M247" i="22"/>
  <c r="M244" i="22" s="1"/>
  <c r="N246" i="22"/>
  <c r="J245" i="22"/>
  <c r="K241" i="22"/>
  <c r="J241" i="22"/>
  <c r="J240" i="22"/>
  <c r="J228" i="22" s="1"/>
  <c r="I240" i="22"/>
  <c r="K240" i="22" s="1"/>
  <c r="K239" i="22"/>
  <c r="J239" i="22"/>
  <c r="J238" i="22"/>
  <c r="I238" i="22"/>
  <c r="K238" i="22" s="1"/>
  <c r="K237" i="22"/>
  <c r="J237" i="22"/>
  <c r="J236" i="22"/>
  <c r="I236" i="22"/>
  <c r="J235" i="22"/>
  <c r="I235" i="22"/>
  <c r="K235" i="22" s="1"/>
  <c r="K234" i="22"/>
  <c r="J234" i="22"/>
  <c r="L232" i="22"/>
  <c r="N232" i="22" s="1"/>
  <c r="L231" i="22"/>
  <c r="M230" i="22"/>
  <c r="M228" i="22" s="1"/>
  <c r="N229" i="22"/>
  <c r="I224" i="22"/>
  <c r="K224" i="22" s="1"/>
  <c r="L218" i="22"/>
  <c r="N218" i="22" s="1"/>
  <c r="N217" i="22"/>
  <c r="M216" i="22"/>
  <c r="N215" i="22"/>
  <c r="M214" i="22"/>
  <c r="J214" i="22"/>
  <c r="I211" i="22"/>
  <c r="K211" i="22" s="1"/>
  <c r="I209" i="22"/>
  <c r="K209" i="22" s="1"/>
  <c r="L203" i="22"/>
  <c r="N202" i="22"/>
  <c r="M201" i="22"/>
  <c r="M199" i="22" s="1"/>
  <c r="N200" i="22"/>
  <c r="J199" i="22"/>
  <c r="I195" i="22"/>
  <c r="K195" i="22" s="1"/>
  <c r="L189" i="22"/>
  <c r="N189" i="22" s="1"/>
  <c r="L188" i="22"/>
  <c r="M187" i="22"/>
  <c r="M185" i="22" s="1"/>
  <c r="N186" i="22"/>
  <c r="J185" i="22"/>
  <c r="I182" i="22"/>
  <c r="K182" i="22" s="1"/>
  <c r="I181" i="22"/>
  <c r="K181" i="22" s="1"/>
  <c r="I180" i="22"/>
  <c r="I169" i="22" s="1"/>
  <c r="K169" i="22" s="1"/>
  <c r="I179" i="22"/>
  <c r="K179" i="22" s="1"/>
  <c r="L173" i="22"/>
  <c r="N173" i="22" s="1"/>
  <c r="L172" i="22"/>
  <c r="M171" i="22"/>
  <c r="N170" i="22"/>
  <c r="M169" i="22"/>
  <c r="J169" i="22"/>
  <c r="K164" i="22"/>
  <c r="K158" i="22"/>
  <c r="J158" i="22"/>
  <c r="J144" i="22" s="1"/>
  <c r="I158" i="22"/>
  <c r="I155" i="22"/>
  <c r="J149" i="22"/>
  <c r="L148" i="22"/>
  <c r="N148" i="22" s="1"/>
  <c r="N147" i="22"/>
  <c r="M146" i="22"/>
  <c r="N145" i="22"/>
  <c r="M144" i="22"/>
  <c r="L141" i="22"/>
  <c r="N141" i="22" s="1"/>
  <c r="I141" i="22"/>
  <c r="K141" i="22" s="1"/>
  <c r="L140" i="22"/>
  <c r="N140" i="22" s="1"/>
  <c r="I140" i="22"/>
  <c r="K140" i="22" s="1"/>
  <c r="L138" i="22"/>
  <c r="N138" i="22" s="1"/>
  <c r="I138" i="22"/>
  <c r="L132" i="22"/>
  <c r="M131" i="22"/>
  <c r="M129" i="22" s="1"/>
  <c r="N130" i="22"/>
  <c r="J129" i="22"/>
  <c r="L126" i="22"/>
  <c r="N126" i="22" s="1"/>
  <c r="I126" i="22"/>
  <c r="L125" i="22"/>
  <c r="N125" i="22" s="1"/>
  <c r="I125" i="22"/>
  <c r="I124" i="22"/>
  <c r="K124" i="22" s="1"/>
  <c r="L117" i="22"/>
  <c r="M116" i="22"/>
  <c r="N115" i="22"/>
  <c r="M114" i="22"/>
  <c r="J114" i="22"/>
  <c r="L111" i="22"/>
  <c r="N111" i="22" s="1"/>
  <c r="I111" i="22"/>
  <c r="K111" i="22" s="1"/>
  <c r="L110" i="22"/>
  <c r="N110" i="22" s="1"/>
  <c r="I110" i="22"/>
  <c r="K110" i="22" s="1"/>
  <c r="L104" i="22"/>
  <c r="M103" i="22"/>
  <c r="N102" i="22"/>
  <c r="M101" i="22"/>
  <c r="J101" i="22"/>
  <c r="L98" i="22"/>
  <c r="N98" i="22" s="1"/>
  <c r="I98" i="22"/>
  <c r="L92" i="22"/>
  <c r="M91" i="22"/>
  <c r="N90" i="22"/>
  <c r="M89" i="22"/>
  <c r="J89" i="22"/>
  <c r="J84" i="22"/>
  <c r="I83" i="22"/>
  <c r="I74" i="22" s="1"/>
  <c r="K74" i="22" s="1"/>
  <c r="L77" i="22"/>
  <c r="M76" i="22"/>
  <c r="M74" i="22" s="1"/>
  <c r="N75" i="22"/>
  <c r="J74" i="22"/>
  <c r="M73" i="22"/>
  <c r="L72" i="22"/>
  <c r="M71" i="22"/>
  <c r="M68" i="22" s="1"/>
  <c r="N70" i="22"/>
  <c r="J68" i="22"/>
  <c r="I62" i="22"/>
  <c r="K62" i="22" s="1"/>
  <c r="L56" i="22"/>
  <c r="N56" i="22" s="1"/>
  <c r="L55" i="22"/>
  <c r="N55" i="22" s="1"/>
  <c r="M54" i="22"/>
  <c r="N53" i="22"/>
  <c r="M52" i="22"/>
  <c r="J52" i="22"/>
  <c r="I48" i="22"/>
  <c r="I33" i="22" s="1"/>
  <c r="K33" i="22" s="1"/>
  <c r="I47" i="22"/>
  <c r="K47" i="22" s="1"/>
  <c r="I46" i="22"/>
  <c r="K46" i="22" s="1"/>
  <c r="I45" i="22"/>
  <c r="K45" i="22" s="1"/>
  <c r="I44" i="22"/>
  <c r="I32" i="22" s="1"/>
  <c r="K32" i="22" s="1"/>
  <c r="I43" i="22"/>
  <c r="K43" i="22" s="1"/>
  <c r="L37" i="22"/>
  <c r="N37" i="22" s="1"/>
  <c r="L36" i="22"/>
  <c r="N36" i="22" s="1"/>
  <c r="M35" i="22"/>
  <c r="M32" i="22" s="1"/>
  <c r="L35" i="22"/>
  <c r="N34" i="22"/>
  <c r="J33" i="22"/>
  <c r="J32" i="22"/>
  <c r="I28" i="22"/>
  <c r="K28" i="22" s="1"/>
  <c r="I27" i="22"/>
  <c r="K27" i="22" s="1"/>
  <c r="I26" i="22"/>
  <c r="K26" i="22" s="1"/>
  <c r="I25" i="22"/>
  <c r="K25" i="22" s="1"/>
  <c r="I24" i="22"/>
  <c r="K24" i="22" s="1"/>
  <c r="I23" i="22"/>
  <c r="K23" i="22" s="1"/>
  <c r="I22" i="22"/>
  <c r="J21" i="22"/>
  <c r="J20" i="22"/>
  <c r="L14" i="22"/>
  <c r="N14" i="22" s="1"/>
  <c r="L13" i="22"/>
  <c r="N13" i="22" s="1"/>
  <c r="M12" i="22"/>
  <c r="M9" i="22" s="1"/>
  <c r="L12" i="22"/>
  <c r="N12" i="22" s="1"/>
  <c r="N11" i="22"/>
  <c r="J10" i="22"/>
  <c r="J9" i="22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17" i="21"/>
  <c r="I517" i="21"/>
  <c r="J514" i="21"/>
  <c r="J513" i="21" s="1"/>
  <c r="I514" i="21"/>
  <c r="I513" i="21"/>
  <c r="J510" i="21"/>
  <c r="I510" i="21"/>
  <c r="J504" i="21"/>
  <c r="J490" i="21" s="1"/>
  <c r="I504" i="21"/>
  <c r="M494" i="21"/>
  <c r="L494" i="21"/>
  <c r="N494" i="21" s="1"/>
  <c r="L493" i="21"/>
  <c r="M492" i="21"/>
  <c r="M490" i="21" s="1"/>
  <c r="N491" i="21"/>
  <c r="J489" i="21"/>
  <c r="I489" i="21"/>
  <c r="K489" i="21" s="1"/>
  <c r="J488" i="21"/>
  <c r="I488" i="21"/>
  <c r="J487" i="21"/>
  <c r="I487" i="21"/>
  <c r="K487" i="21" s="1"/>
  <c r="J486" i="21"/>
  <c r="I486" i="21"/>
  <c r="J485" i="21"/>
  <c r="I485" i="21"/>
  <c r="K485" i="21" s="1"/>
  <c r="J484" i="21"/>
  <c r="I484" i="21"/>
  <c r="I473" i="21" s="1"/>
  <c r="J483" i="21"/>
  <c r="I483" i="21"/>
  <c r="K483" i="21" s="1"/>
  <c r="J482" i="21"/>
  <c r="I482" i="21"/>
  <c r="M477" i="21"/>
  <c r="M475" i="21" s="1"/>
  <c r="M473" i="21" s="1"/>
  <c r="L477" i="21"/>
  <c r="N477" i="21" s="1"/>
  <c r="L476" i="21"/>
  <c r="N474" i="21"/>
  <c r="K472" i="21"/>
  <c r="K471" i="21"/>
  <c r="K470" i="21"/>
  <c r="K469" i="21"/>
  <c r="K468" i="21"/>
  <c r="J466" i="21"/>
  <c r="I466" i="21"/>
  <c r="M461" i="21"/>
  <c r="M459" i="21" s="1"/>
  <c r="M457" i="21" s="1"/>
  <c r="L461" i="21"/>
  <c r="N461" i="21" s="1"/>
  <c r="L460" i="21"/>
  <c r="N458" i="21"/>
  <c r="J457" i="21"/>
  <c r="I456" i="21"/>
  <c r="K456" i="21" s="1"/>
  <c r="I455" i="21"/>
  <c r="I454" i="21"/>
  <c r="K454" i="21" s="1"/>
  <c r="I453" i="21"/>
  <c r="K453" i="21" s="1"/>
  <c r="M448" i="21"/>
  <c r="L448" i="21"/>
  <c r="L447" i="21"/>
  <c r="N447" i="21" s="1"/>
  <c r="M446" i="21"/>
  <c r="M444" i="21" s="1"/>
  <c r="N445" i="21"/>
  <c r="J444" i="21"/>
  <c r="I441" i="21"/>
  <c r="K441" i="21" s="1"/>
  <c r="I440" i="21"/>
  <c r="M430" i="21"/>
  <c r="L430" i="21"/>
  <c r="N430" i="21" s="1"/>
  <c r="L429" i="21"/>
  <c r="M428" i="21"/>
  <c r="N427" i="21"/>
  <c r="M426" i="21"/>
  <c r="J426" i="21"/>
  <c r="K425" i="21"/>
  <c r="K424" i="21"/>
  <c r="K423" i="21"/>
  <c r="K422" i="21"/>
  <c r="K421" i="21"/>
  <c r="K420" i="21"/>
  <c r="K417" i="21"/>
  <c r="J417" i="21"/>
  <c r="I419" i="21" s="1"/>
  <c r="K419" i="21" s="1"/>
  <c r="K416" i="21"/>
  <c r="J416" i="21"/>
  <c r="I418" i="21" s="1"/>
  <c r="K418" i="21" s="1"/>
  <c r="K415" i="21"/>
  <c r="J415" i="21"/>
  <c r="K414" i="21"/>
  <c r="J414" i="21"/>
  <c r="K413" i="21"/>
  <c r="J413" i="21"/>
  <c r="K412" i="21"/>
  <c r="J412" i="21"/>
  <c r="I411" i="21"/>
  <c r="K411" i="21" s="1"/>
  <c r="I410" i="21"/>
  <c r="K410" i="21" s="1"/>
  <c r="I409" i="21"/>
  <c r="K409" i="21" s="1"/>
  <c r="K408" i="21"/>
  <c r="K407" i="21"/>
  <c r="K406" i="21"/>
  <c r="K405" i="21"/>
  <c r="K404" i="21"/>
  <c r="K403" i="21"/>
  <c r="K402" i="21"/>
  <c r="J402" i="21"/>
  <c r="J392" i="21" s="1"/>
  <c r="K401" i="21"/>
  <c r="J401" i="21"/>
  <c r="K400" i="21"/>
  <c r="K399" i="21"/>
  <c r="K398" i="21"/>
  <c r="K397" i="21"/>
  <c r="K396" i="21"/>
  <c r="K395" i="21"/>
  <c r="K394" i="21"/>
  <c r="J394" i="21"/>
  <c r="K393" i="21"/>
  <c r="J393" i="21"/>
  <c r="J391" i="21" s="1"/>
  <c r="I392" i="21"/>
  <c r="I391" i="21"/>
  <c r="I390" i="21"/>
  <c r="K389" i="21"/>
  <c r="K388" i="21"/>
  <c r="K387" i="21"/>
  <c r="K386" i="21"/>
  <c r="K385" i="21"/>
  <c r="K384" i="21"/>
  <c r="K383" i="21"/>
  <c r="J383" i="21"/>
  <c r="K382" i="21"/>
  <c r="J382" i="21"/>
  <c r="K381" i="21"/>
  <c r="K380" i="21"/>
  <c r="K379" i="21"/>
  <c r="K378" i="21"/>
  <c r="J377" i="21"/>
  <c r="J376" i="21"/>
  <c r="J359" i="21" s="1"/>
  <c r="J350" i="21" s="1"/>
  <c r="K375" i="21"/>
  <c r="K374" i="21"/>
  <c r="K373" i="21"/>
  <c r="K372" i="21"/>
  <c r="K371" i="21"/>
  <c r="K370" i="21"/>
  <c r="J369" i="21"/>
  <c r="J368" i="21"/>
  <c r="K367" i="21"/>
  <c r="K366" i="21"/>
  <c r="K365" i="21"/>
  <c r="K364" i="21"/>
  <c r="K363" i="21"/>
  <c r="K362" i="21"/>
  <c r="J361" i="21"/>
  <c r="I361" i="21"/>
  <c r="I377" i="21" s="1"/>
  <c r="K377" i="21" s="1"/>
  <c r="J360" i="21"/>
  <c r="I360" i="21"/>
  <c r="I359" i="21"/>
  <c r="I376" i="21" s="1"/>
  <c r="M354" i="21"/>
  <c r="M352" i="21" s="1"/>
  <c r="M350" i="21" s="1"/>
  <c r="L354" i="21"/>
  <c r="N354" i="21" s="1"/>
  <c r="L353" i="21"/>
  <c r="N351" i="21"/>
  <c r="I347" i="21"/>
  <c r="K347" i="21" s="1"/>
  <c r="I346" i="21"/>
  <c r="K346" i="21" s="1"/>
  <c r="I345" i="21"/>
  <c r="J344" i="21"/>
  <c r="M334" i="21"/>
  <c r="L334" i="21"/>
  <c r="N334" i="21" s="1"/>
  <c r="L333" i="21"/>
  <c r="M332" i="21"/>
  <c r="N331" i="21"/>
  <c r="M330" i="21"/>
  <c r="J330" i="21"/>
  <c r="I327" i="21"/>
  <c r="K327" i="21" s="1"/>
  <c r="I326" i="21"/>
  <c r="K326" i="21" s="1"/>
  <c r="J325" i="21"/>
  <c r="I324" i="21"/>
  <c r="K324" i="21" s="1"/>
  <c r="I323" i="21"/>
  <c r="K323" i="21" s="1"/>
  <c r="I322" i="21"/>
  <c r="K322" i="21" s="1"/>
  <c r="J321" i="21"/>
  <c r="I321" i="21"/>
  <c r="K321" i="21" s="1"/>
  <c r="I320" i="21"/>
  <c r="K320" i="21" s="1"/>
  <c r="I319" i="21"/>
  <c r="K319" i="21" s="1"/>
  <c r="I318" i="21"/>
  <c r="K318" i="21" s="1"/>
  <c r="I317" i="21"/>
  <c r="K317" i="21" s="1"/>
  <c r="J316" i="21"/>
  <c r="I316" i="21"/>
  <c r="I315" i="21"/>
  <c r="K315" i="21" s="1"/>
  <c r="I314" i="21"/>
  <c r="K314" i="21" s="1"/>
  <c r="I313" i="21"/>
  <c r="J312" i="21"/>
  <c r="I312" i="21"/>
  <c r="K312" i="21" s="1"/>
  <c r="M301" i="21"/>
  <c r="L301" i="21"/>
  <c r="N301" i="21" s="1"/>
  <c r="L300" i="21"/>
  <c r="N300" i="21" s="1"/>
  <c r="M299" i="21"/>
  <c r="N298" i="21"/>
  <c r="M296" i="21"/>
  <c r="J296" i="21"/>
  <c r="I293" i="21"/>
  <c r="K293" i="21" s="1"/>
  <c r="I292" i="21"/>
  <c r="K292" i="21" s="1"/>
  <c r="I291" i="21"/>
  <c r="M280" i="21"/>
  <c r="M278" i="21" s="1"/>
  <c r="M275" i="21" s="1"/>
  <c r="L280" i="21"/>
  <c r="L279" i="21"/>
  <c r="N279" i="21" s="1"/>
  <c r="N277" i="21"/>
  <c r="J276" i="21"/>
  <c r="J275" i="21"/>
  <c r="I272" i="21"/>
  <c r="K272" i="21" s="1"/>
  <c r="I271" i="21"/>
  <c r="J270" i="21"/>
  <c r="I268" i="21"/>
  <c r="K268" i="21" s="1"/>
  <c r="I266" i="21"/>
  <c r="K266" i="21" s="1"/>
  <c r="I264" i="21"/>
  <c r="J263" i="21"/>
  <c r="I263" i="21"/>
  <c r="J262" i="21"/>
  <c r="I260" i="21"/>
  <c r="K260" i="21" s="1"/>
  <c r="J259" i="21"/>
  <c r="M249" i="21"/>
  <c r="M247" i="21" s="1"/>
  <c r="M244" i="21" s="1"/>
  <c r="L249" i="21"/>
  <c r="L248" i="21"/>
  <c r="N248" i="21" s="1"/>
  <c r="N246" i="21"/>
  <c r="J245" i="21"/>
  <c r="J244" i="21"/>
  <c r="K241" i="21"/>
  <c r="J241" i="21"/>
  <c r="J240" i="21"/>
  <c r="I240" i="21"/>
  <c r="K239" i="21"/>
  <c r="J239" i="21"/>
  <c r="J238" i="21"/>
  <c r="I238" i="21"/>
  <c r="K237" i="21"/>
  <c r="J237" i="21"/>
  <c r="J236" i="21"/>
  <c r="I236" i="21"/>
  <c r="J235" i="21"/>
  <c r="I235" i="21"/>
  <c r="K234" i="21"/>
  <c r="J234" i="21"/>
  <c r="L232" i="21"/>
  <c r="N232" i="21" s="1"/>
  <c r="L231" i="21"/>
  <c r="N231" i="21" s="1"/>
  <c r="M230" i="21"/>
  <c r="M228" i="21" s="1"/>
  <c r="N229" i="21"/>
  <c r="J228" i="21"/>
  <c r="I224" i="21"/>
  <c r="K224" i="21" s="1"/>
  <c r="L218" i="21"/>
  <c r="N217" i="21"/>
  <c r="M216" i="21"/>
  <c r="N215" i="21"/>
  <c r="M214" i="21"/>
  <c r="J214" i="21"/>
  <c r="I211" i="21"/>
  <c r="K211" i="21" s="1"/>
  <c r="I209" i="21"/>
  <c r="K209" i="21" s="1"/>
  <c r="L203" i="21"/>
  <c r="N202" i="21"/>
  <c r="M201" i="21"/>
  <c r="N200" i="21"/>
  <c r="M199" i="21"/>
  <c r="J199" i="21"/>
  <c r="I195" i="21"/>
  <c r="L189" i="21"/>
  <c r="L188" i="21"/>
  <c r="N188" i="21" s="1"/>
  <c r="M187" i="21"/>
  <c r="M185" i="21" s="1"/>
  <c r="N186" i="21"/>
  <c r="J185" i="21"/>
  <c r="I182" i="21"/>
  <c r="K182" i="21" s="1"/>
  <c r="I181" i="21"/>
  <c r="K181" i="21" s="1"/>
  <c r="I180" i="21"/>
  <c r="I179" i="21"/>
  <c r="K179" i="21" s="1"/>
  <c r="L173" i="21"/>
  <c r="N173" i="21" s="1"/>
  <c r="L172" i="21"/>
  <c r="N172" i="21" s="1"/>
  <c r="M171" i="21"/>
  <c r="N170" i="21"/>
  <c r="M169" i="21"/>
  <c r="J169" i="21"/>
  <c r="K164" i="21"/>
  <c r="K158" i="21"/>
  <c r="J158" i="21"/>
  <c r="I158" i="21"/>
  <c r="I155" i="21"/>
  <c r="J149" i="21"/>
  <c r="L148" i="21"/>
  <c r="N147" i="21"/>
  <c r="M146" i="21"/>
  <c r="N145" i="21"/>
  <c r="M144" i="21"/>
  <c r="J144" i="21"/>
  <c r="L141" i="21"/>
  <c r="N141" i="21" s="1"/>
  <c r="I141" i="21"/>
  <c r="K141" i="21" s="1"/>
  <c r="L140" i="21"/>
  <c r="N140" i="21" s="1"/>
  <c r="I140" i="21"/>
  <c r="K140" i="21" s="1"/>
  <c r="L138" i="21"/>
  <c r="N138" i="21" s="1"/>
  <c r="I138" i="21"/>
  <c r="L132" i="21"/>
  <c r="N132" i="21" s="1"/>
  <c r="M131" i="21"/>
  <c r="M129" i="21" s="1"/>
  <c r="N130" i="21"/>
  <c r="J129" i="21"/>
  <c r="J68" i="21" s="1"/>
  <c r="L126" i="21"/>
  <c r="N126" i="21" s="1"/>
  <c r="I126" i="21"/>
  <c r="K126" i="21" s="1"/>
  <c r="L125" i="21"/>
  <c r="N125" i="21" s="1"/>
  <c r="I125" i="21"/>
  <c r="I114" i="21" s="1"/>
  <c r="K114" i="21" s="1"/>
  <c r="I124" i="21"/>
  <c r="K124" i="21" s="1"/>
  <c r="L117" i="21"/>
  <c r="M116" i="21"/>
  <c r="N115" i="21"/>
  <c r="M114" i="21"/>
  <c r="J114" i="21"/>
  <c r="L111" i="21"/>
  <c r="N111" i="21" s="1"/>
  <c r="I111" i="21"/>
  <c r="L110" i="21"/>
  <c r="N110" i="21" s="1"/>
  <c r="I110" i="21"/>
  <c r="K110" i="21" s="1"/>
  <c r="L104" i="21"/>
  <c r="M103" i="21"/>
  <c r="N102" i="21"/>
  <c r="M101" i="21"/>
  <c r="J101" i="21"/>
  <c r="L98" i="21"/>
  <c r="N98" i="21" s="1"/>
  <c r="I98" i="21"/>
  <c r="L92" i="21"/>
  <c r="N92" i="21" s="1"/>
  <c r="M91" i="21"/>
  <c r="N90" i="21"/>
  <c r="M89" i="21"/>
  <c r="J89" i="21"/>
  <c r="J84" i="21"/>
  <c r="I83" i="21"/>
  <c r="L77" i="21"/>
  <c r="M76" i="21"/>
  <c r="N75" i="21"/>
  <c r="M74" i="21"/>
  <c r="J74" i="21"/>
  <c r="M73" i="21"/>
  <c r="L72" i="21"/>
  <c r="N72" i="21" s="1"/>
  <c r="M71" i="21"/>
  <c r="M68" i="21" s="1"/>
  <c r="N70" i="21"/>
  <c r="I62" i="21"/>
  <c r="K62" i="21" s="1"/>
  <c r="L56" i="21"/>
  <c r="N56" i="21" s="1"/>
  <c r="L55" i="21"/>
  <c r="M54" i="21"/>
  <c r="N53" i="21"/>
  <c r="M52" i="21"/>
  <c r="J52" i="21"/>
  <c r="I48" i="21"/>
  <c r="I47" i="21"/>
  <c r="K47" i="21" s="1"/>
  <c r="I46" i="21"/>
  <c r="K46" i="21" s="1"/>
  <c r="I45" i="21"/>
  <c r="K45" i="21" s="1"/>
  <c r="I44" i="21"/>
  <c r="K44" i="21" s="1"/>
  <c r="I43" i="21"/>
  <c r="K43" i="21" s="1"/>
  <c r="L37" i="21"/>
  <c r="N37" i="21" s="1"/>
  <c r="L36" i="21"/>
  <c r="N36" i="21" s="1"/>
  <c r="M35" i="21"/>
  <c r="L35" i="21"/>
  <c r="N35" i="21" s="1"/>
  <c r="N34" i="21"/>
  <c r="J33" i="21"/>
  <c r="M32" i="21"/>
  <c r="J32" i="21"/>
  <c r="I28" i="21"/>
  <c r="K28" i="21" s="1"/>
  <c r="I27" i="21"/>
  <c r="K27" i="21" s="1"/>
  <c r="I26" i="21"/>
  <c r="K26" i="21" s="1"/>
  <c r="I25" i="21"/>
  <c r="K25" i="21" s="1"/>
  <c r="I24" i="21"/>
  <c r="K24" i="21" s="1"/>
  <c r="I23" i="21"/>
  <c r="K23" i="21" s="1"/>
  <c r="I22" i="21"/>
  <c r="K22" i="21" s="1"/>
  <c r="J21" i="21"/>
  <c r="J10" i="21" s="1"/>
  <c r="J20" i="21"/>
  <c r="L14" i="21"/>
  <c r="N14" i="21" s="1"/>
  <c r="L13" i="21"/>
  <c r="N13" i="21" s="1"/>
  <c r="M12" i="21"/>
  <c r="L12" i="21"/>
  <c r="N11" i="21"/>
  <c r="M9" i="21"/>
  <c r="J9" i="21"/>
  <c r="J528" i="20"/>
  <c r="I528" i="20"/>
  <c r="J527" i="20"/>
  <c r="I527" i="20"/>
  <c r="J526" i="20"/>
  <c r="I526" i="20"/>
  <c r="J525" i="20"/>
  <c r="I525" i="20"/>
  <c r="J524" i="20"/>
  <c r="I524" i="20"/>
  <c r="K524" i="20" s="1"/>
  <c r="J523" i="20"/>
  <c r="I523" i="20"/>
  <c r="K523" i="20" s="1"/>
  <c r="J522" i="20"/>
  <c r="I522" i="20"/>
  <c r="J521" i="20"/>
  <c r="I521" i="20"/>
  <c r="J517" i="20"/>
  <c r="I517" i="20"/>
  <c r="J514" i="20"/>
  <c r="I514" i="20"/>
  <c r="J513" i="20"/>
  <c r="I513" i="20"/>
  <c r="J510" i="20"/>
  <c r="I510" i="20"/>
  <c r="I504" i="20"/>
  <c r="M494" i="20"/>
  <c r="L494" i="20"/>
  <c r="N494" i="20" s="1"/>
  <c r="L493" i="20"/>
  <c r="N493" i="20" s="1"/>
  <c r="M492" i="20"/>
  <c r="N491" i="20"/>
  <c r="M490" i="20"/>
  <c r="J489" i="20"/>
  <c r="I489" i="20"/>
  <c r="K489" i="20" s="1"/>
  <c r="J488" i="20"/>
  <c r="J473" i="20" s="1"/>
  <c r="I488" i="20"/>
  <c r="K488" i="20" s="1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J483" i="20"/>
  <c r="I483" i="20"/>
  <c r="K483" i="20" s="1"/>
  <c r="J482" i="20"/>
  <c r="I482" i="20"/>
  <c r="K482" i="20" s="1"/>
  <c r="M477" i="20"/>
  <c r="L477" i="20"/>
  <c r="N477" i="20" s="1"/>
  <c r="L476" i="20"/>
  <c r="M475" i="20"/>
  <c r="M473" i="20" s="1"/>
  <c r="N474" i="20"/>
  <c r="K472" i="20"/>
  <c r="K471" i="20"/>
  <c r="K470" i="20"/>
  <c r="K469" i="20"/>
  <c r="K468" i="20"/>
  <c r="J466" i="20"/>
  <c r="I466" i="20"/>
  <c r="M461" i="20"/>
  <c r="L461" i="20"/>
  <c r="N461" i="20" s="1"/>
  <c r="L460" i="20"/>
  <c r="M459" i="20"/>
  <c r="N458" i="20"/>
  <c r="M457" i="20"/>
  <c r="J457" i="20"/>
  <c r="I456" i="20"/>
  <c r="K456" i="20" s="1"/>
  <c r="I455" i="20"/>
  <c r="I454" i="20"/>
  <c r="K454" i="20" s="1"/>
  <c r="I453" i="20"/>
  <c r="K453" i="20" s="1"/>
  <c r="M448" i="20"/>
  <c r="M446" i="20" s="1"/>
  <c r="M444" i="20" s="1"/>
  <c r="L448" i="20"/>
  <c r="N448" i="20" s="1"/>
  <c r="L447" i="20"/>
  <c r="N445" i="20"/>
  <c r="J444" i="20"/>
  <c r="I441" i="20"/>
  <c r="K441" i="20" s="1"/>
  <c r="I440" i="20"/>
  <c r="K440" i="20" s="1"/>
  <c r="M430" i="20"/>
  <c r="M428" i="20" s="1"/>
  <c r="M426" i="20" s="1"/>
  <c r="L430" i="20"/>
  <c r="L429" i="20"/>
  <c r="N429" i="20" s="1"/>
  <c r="N427" i="20"/>
  <c r="J426" i="20"/>
  <c r="K425" i="20"/>
  <c r="K424" i="20"/>
  <c r="K423" i="20"/>
  <c r="K422" i="20"/>
  <c r="K421" i="20"/>
  <c r="K420" i="20"/>
  <c r="K417" i="20"/>
  <c r="J417" i="20"/>
  <c r="I419" i="20" s="1"/>
  <c r="K419" i="20" s="1"/>
  <c r="K416" i="20"/>
  <c r="J416" i="20"/>
  <c r="I418" i="20" s="1"/>
  <c r="K418" i="20" s="1"/>
  <c r="K415" i="20"/>
  <c r="J415" i="20"/>
  <c r="K414" i="20"/>
  <c r="J414" i="20"/>
  <c r="K413" i="20"/>
  <c r="J413" i="20"/>
  <c r="K412" i="20"/>
  <c r="J412" i="20"/>
  <c r="I411" i="20"/>
  <c r="K411" i="20" s="1"/>
  <c r="I410" i="20"/>
  <c r="K410" i="20" s="1"/>
  <c r="I409" i="20"/>
  <c r="K409" i="20" s="1"/>
  <c r="K408" i="20"/>
  <c r="K407" i="20"/>
  <c r="K406" i="20"/>
  <c r="K405" i="20"/>
  <c r="K404" i="20"/>
  <c r="K403" i="20"/>
  <c r="K402" i="20"/>
  <c r="J402" i="20"/>
  <c r="J392" i="20" s="1"/>
  <c r="K401" i="20"/>
  <c r="J401" i="20"/>
  <c r="K400" i="20"/>
  <c r="K399" i="20"/>
  <c r="K398" i="20"/>
  <c r="K397" i="20"/>
  <c r="K396" i="20"/>
  <c r="K395" i="20"/>
  <c r="K394" i="20"/>
  <c r="J394" i="20"/>
  <c r="K393" i="20"/>
  <c r="J393" i="20"/>
  <c r="J391" i="20" s="1"/>
  <c r="I392" i="20"/>
  <c r="K392" i="20" s="1"/>
  <c r="I391" i="20"/>
  <c r="K391" i="20" s="1"/>
  <c r="J390" i="20"/>
  <c r="I390" i="20"/>
  <c r="K390" i="20" s="1"/>
  <c r="K389" i="20"/>
  <c r="K388" i="20"/>
  <c r="K387" i="20"/>
  <c r="K386" i="20"/>
  <c r="K385" i="20"/>
  <c r="K384" i="20"/>
  <c r="K383" i="20"/>
  <c r="J383" i="20"/>
  <c r="K382" i="20"/>
  <c r="J382" i="20"/>
  <c r="K381" i="20"/>
  <c r="K380" i="20"/>
  <c r="K379" i="20"/>
  <c r="K378" i="20"/>
  <c r="J377" i="20"/>
  <c r="J376" i="20"/>
  <c r="J359" i="20" s="1"/>
  <c r="J350" i="20" s="1"/>
  <c r="K375" i="20"/>
  <c r="K374" i="20"/>
  <c r="K373" i="20"/>
  <c r="K372" i="20"/>
  <c r="K371" i="20"/>
  <c r="K370" i="20"/>
  <c r="J369" i="20"/>
  <c r="J368" i="20"/>
  <c r="K367" i="20"/>
  <c r="K366" i="20"/>
  <c r="K365" i="20"/>
  <c r="K364" i="20"/>
  <c r="K363" i="20"/>
  <c r="K362" i="20"/>
  <c r="J361" i="20"/>
  <c r="I361" i="20"/>
  <c r="J360" i="20"/>
  <c r="I360" i="20"/>
  <c r="K360" i="20" s="1"/>
  <c r="I359" i="20"/>
  <c r="I350" i="20" s="1"/>
  <c r="K350" i="20" s="1"/>
  <c r="M354" i="20"/>
  <c r="L354" i="20"/>
  <c r="L353" i="20"/>
  <c r="N353" i="20" s="1"/>
  <c r="M352" i="20"/>
  <c r="M350" i="20" s="1"/>
  <c r="N351" i="20"/>
  <c r="I347" i="20"/>
  <c r="K347" i="20" s="1"/>
  <c r="I346" i="20"/>
  <c r="K346" i="20" s="1"/>
  <c r="I345" i="20"/>
  <c r="J344" i="20"/>
  <c r="J330" i="20" s="1"/>
  <c r="M334" i="20"/>
  <c r="L334" i="20"/>
  <c r="N334" i="20" s="1"/>
  <c r="L333" i="20"/>
  <c r="M332" i="20"/>
  <c r="M330" i="20" s="1"/>
  <c r="N331" i="20"/>
  <c r="I327" i="20"/>
  <c r="K327" i="20" s="1"/>
  <c r="I326" i="20"/>
  <c r="J325" i="20"/>
  <c r="I324" i="20"/>
  <c r="K324" i="20" s="1"/>
  <c r="I323" i="20"/>
  <c r="K323" i="20" s="1"/>
  <c r="I322" i="20"/>
  <c r="K322" i="20" s="1"/>
  <c r="J321" i="20"/>
  <c r="I321" i="20"/>
  <c r="K321" i="20" s="1"/>
  <c r="I320" i="20"/>
  <c r="K320" i="20" s="1"/>
  <c r="I319" i="20"/>
  <c r="K319" i="20" s="1"/>
  <c r="I318" i="20"/>
  <c r="K318" i="20" s="1"/>
  <c r="I317" i="20"/>
  <c r="J316" i="20"/>
  <c r="I316" i="20"/>
  <c r="K316" i="20" s="1"/>
  <c r="I315" i="20"/>
  <c r="K315" i="20" s="1"/>
  <c r="I314" i="20"/>
  <c r="K314" i="20" s="1"/>
  <c r="I313" i="20"/>
  <c r="K313" i="20" s="1"/>
  <c r="J312" i="20"/>
  <c r="I312" i="20"/>
  <c r="J311" i="20"/>
  <c r="M301" i="20"/>
  <c r="M299" i="20" s="1"/>
  <c r="L301" i="20"/>
  <c r="L300" i="20"/>
  <c r="N298" i="20"/>
  <c r="J297" i="20"/>
  <c r="M296" i="20"/>
  <c r="J296" i="20"/>
  <c r="I293" i="20"/>
  <c r="K293" i="20" s="1"/>
  <c r="I292" i="20"/>
  <c r="K292" i="20" s="1"/>
  <c r="I291" i="20"/>
  <c r="K291" i="20" s="1"/>
  <c r="M280" i="20"/>
  <c r="M278" i="20" s="1"/>
  <c r="M275" i="20" s="1"/>
  <c r="L280" i="20"/>
  <c r="N280" i="20" s="1"/>
  <c r="L279" i="20"/>
  <c r="N277" i="20"/>
  <c r="J276" i="20"/>
  <c r="I276" i="20"/>
  <c r="K276" i="20" s="1"/>
  <c r="J275" i="20"/>
  <c r="I272" i="20"/>
  <c r="K272" i="20" s="1"/>
  <c r="I271" i="20"/>
  <c r="K271" i="20" s="1"/>
  <c r="J270" i="20"/>
  <c r="I268" i="20"/>
  <c r="K268" i="20" s="1"/>
  <c r="I266" i="20"/>
  <c r="I264" i="20"/>
  <c r="K264" i="20" s="1"/>
  <c r="J263" i="20"/>
  <c r="I263" i="20"/>
  <c r="I267" i="20" s="1"/>
  <c r="K267" i="20" s="1"/>
  <c r="J262" i="20"/>
  <c r="I260" i="20"/>
  <c r="K260" i="20" s="1"/>
  <c r="M249" i="20"/>
  <c r="M247" i="20" s="1"/>
  <c r="L249" i="20"/>
  <c r="N249" i="20" s="1"/>
  <c r="L248" i="20"/>
  <c r="N246" i="20"/>
  <c r="M244" i="20"/>
  <c r="J244" i="20"/>
  <c r="K241" i="20"/>
  <c r="J241" i="20"/>
  <c r="J240" i="20"/>
  <c r="J228" i="20" s="1"/>
  <c r="I240" i="20"/>
  <c r="K240" i="20" s="1"/>
  <c r="K239" i="20"/>
  <c r="J239" i="20"/>
  <c r="J238" i="20"/>
  <c r="I238" i="20"/>
  <c r="K238" i="20" s="1"/>
  <c r="K237" i="20"/>
  <c r="J237" i="20"/>
  <c r="J236" i="20"/>
  <c r="I236" i="20"/>
  <c r="I228" i="20" s="1"/>
  <c r="K228" i="20" s="1"/>
  <c r="J235" i="20"/>
  <c r="I235" i="20"/>
  <c r="K235" i="20" s="1"/>
  <c r="K234" i="20"/>
  <c r="J234" i="20"/>
  <c r="L232" i="20"/>
  <c r="N232" i="20" s="1"/>
  <c r="L231" i="20"/>
  <c r="M230" i="20"/>
  <c r="N229" i="20"/>
  <c r="M228" i="20"/>
  <c r="I224" i="20"/>
  <c r="K224" i="20" s="1"/>
  <c r="L218" i="20"/>
  <c r="N218" i="20" s="1"/>
  <c r="N217" i="20"/>
  <c r="M216" i="20"/>
  <c r="N215" i="20"/>
  <c r="M214" i="20"/>
  <c r="J214" i="20"/>
  <c r="I211" i="20"/>
  <c r="K211" i="20" s="1"/>
  <c r="I209" i="20"/>
  <c r="I199" i="20" s="1"/>
  <c r="K199" i="20" s="1"/>
  <c r="L203" i="20"/>
  <c r="N203" i="20" s="1"/>
  <c r="N202" i="20"/>
  <c r="M201" i="20"/>
  <c r="N200" i="20"/>
  <c r="M199" i="20"/>
  <c r="J199" i="20"/>
  <c r="I195" i="20"/>
  <c r="L189" i="20"/>
  <c r="N189" i="20" s="1"/>
  <c r="L188" i="20"/>
  <c r="M187" i="20"/>
  <c r="N186" i="20"/>
  <c r="M185" i="20"/>
  <c r="J185" i="20"/>
  <c r="I182" i="20"/>
  <c r="K182" i="20" s="1"/>
  <c r="I181" i="20"/>
  <c r="K181" i="20" s="1"/>
  <c r="I180" i="20"/>
  <c r="K180" i="20" s="1"/>
  <c r="I179" i="20"/>
  <c r="K179" i="20" s="1"/>
  <c r="L173" i="20"/>
  <c r="N173" i="20" s="1"/>
  <c r="L172" i="20"/>
  <c r="M171" i="20"/>
  <c r="M169" i="20" s="1"/>
  <c r="N170" i="20"/>
  <c r="J169" i="20"/>
  <c r="K164" i="20"/>
  <c r="J158" i="20"/>
  <c r="I158" i="20"/>
  <c r="K158" i="20" s="1"/>
  <c r="I155" i="20"/>
  <c r="J149" i="20"/>
  <c r="L148" i="20"/>
  <c r="N148" i="20" s="1"/>
  <c r="N147" i="20"/>
  <c r="M146" i="20"/>
  <c r="N145" i="20"/>
  <c r="M144" i="20"/>
  <c r="J144" i="20"/>
  <c r="L141" i="20"/>
  <c r="N141" i="20" s="1"/>
  <c r="I141" i="20"/>
  <c r="K141" i="20" s="1"/>
  <c r="L140" i="20"/>
  <c r="N140" i="20" s="1"/>
  <c r="I140" i="20"/>
  <c r="K140" i="20" s="1"/>
  <c r="L138" i="20"/>
  <c r="N138" i="20" s="1"/>
  <c r="I138" i="20"/>
  <c r="L132" i="20"/>
  <c r="M131" i="20"/>
  <c r="N130" i="20"/>
  <c r="M129" i="20"/>
  <c r="J129" i="20"/>
  <c r="L126" i="20"/>
  <c r="N126" i="20" s="1"/>
  <c r="I126" i="20"/>
  <c r="K126" i="20" s="1"/>
  <c r="L125" i="20"/>
  <c r="N125" i="20" s="1"/>
  <c r="I125" i="20"/>
  <c r="I114" i="20" s="1"/>
  <c r="K114" i="20" s="1"/>
  <c r="I124" i="20"/>
  <c r="K124" i="20" s="1"/>
  <c r="L117" i="20"/>
  <c r="M116" i="20"/>
  <c r="M114" i="20" s="1"/>
  <c r="N115" i="20"/>
  <c r="J114" i="20"/>
  <c r="L111" i="20"/>
  <c r="N111" i="20" s="1"/>
  <c r="I111" i="20"/>
  <c r="L110" i="20"/>
  <c r="N110" i="20" s="1"/>
  <c r="I110" i="20"/>
  <c r="K110" i="20" s="1"/>
  <c r="L104" i="20"/>
  <c r="M103" i="20"/>
  <c r="M101" i="20" s="1"/>
  <c r="N102" i="20"/>
  <c r="J101" i="20"/>
  <c r="L98" i="20"/>
  <c r="N98" i="20" s="1"/>
  <c r="I98" i="20"/>
  <c r="L92" i="20"/>
  <c r="M91" i="20"/>
  <c r="M89" i="20" s="1"/>
  <c r="N90" i="20"/>
  <c r="J89" i="20"/>
  <c r="J84" i="20"/>
  <c r="I83" i="20"/>
  <c r="K83" i="20" s="1"/>
  <c r="L77" i="20"/>
  <c r="M76" i="20"/>
  <c r="N75" i="20"/>
  <c r="M74" i="20"/>
  <c r="J74" i="20"/>
  <c r="M73" i="20"/>
  <c r="L72" i="20"/>
  <c r="N70" i="20"/>
  <c r="J68" i="20"/>
  <c r="I62" i="20"/>
  <c r="L56" i="20"/>
  <c r="N56" i="20" s="1"/>
  <c r="L55" i="20"/>
  <c r="M54" i="20"/>
  <c r="M52" i="20" s="1"/>
  <c r="N53" i="20"/>
  <c r="J52" i="20"/>
  <c r="I48" i="20"/>
  <c r="I33" i="20" s="1"/>
  <c r="K33" i="20" s="1"/>
  <c r="I47" i="20"/>
  <c r="K47" i="20" s="1"/>
  <c r="I46" i="20"/>
  <c r="K46" i="20" s="1"/>
  <c r="I45" i="20"/>
  <c r="K45" i="20" s="1"/>
  <c r="I44" i="20"/>
  <c r="K44" i="20" s="1"/>
  <c r="I43" i="20"/>
  <c r="K43" i="20" s="1"/>
  <c r="L37" i="20"/>
  <c r="N37" i="20" s="1"/>
  <c r="L36" i="20"/>
  <c r="N36" i="20" s="1"/>
  <c r="M35" i="20"/>
  <c r="L35" i="20"/>
  <c r="N34" i="20"/>
  <c r="J33" i="20"/>
  <c r="M32" i="20"/>
  <c r="J32" i="20"/>
  <c r="I28" i="20"/>
  <c r="K28" i="20" s="1"/>
  <c r="I27" i="20"/>
  <c r="K27" i="20" s="1"/>
  <c r="I26" i="20"/>
  <c r="K26" i="20" s="1"/>
  <c r="I25" i="20"/>
  <c r="K25" i="20" s="1"/>
  <c r="I24" i="20"/>
  <c r="I23" i="20"/>
  <c r="I22" i="20"/>
  <c r="K22" i="20" s="1"/>
  <c r="J21" i="20"/>
  <c r="J10" i="20" s="1"/>
  <c r="J20" i="20"/>
  <c r="J9" i="20" s="1"/>
  <c r="L14" i="20"/>
  <c r="N14" i="20" s="1"/>
  <c r="L13" i="20"/>
  <c r="N13" i="20" s="1"/>
  <c r="M12" i="20"/>
  <c r="L12" i="20"/>
  <c r="N11" i="20"/>
  <c r="M9" i="20"/>
  <c r="J528" i="19"/>
  <c r="I528" i="19"/>
  <c r="J527" i="19"/>
  <c r="I527" i="19"/>
  <c r="J526" i="19"/>
  <c r="I526" i="19"/>
  <c r="J525" i="19"/>
  <c r="I525" i="19"/>
  <c r="J524" i="19"/>
  <c r="I524" i="19"/>
  <c r="J523" i="19"/>
  <c r="I523" i="19"/>
  <c r="J522" i="19"/>
  <c r="I522" i="19"/>
  <c r="J521" i="19"/>
  <c r="I521" i="19"/>
  <c r="J517" i="19"/>
  <c r="I517" i="19"/>
  <c r="J514" i="19"/>
  <c r="I514" i="19"/>
  <c r="J513" i="19"/>
  <c r="I513" i="19"/>
  <c r="J510" i="19"/>
  <c r="I510" i="19"/>
  <c r="J504" i="19"/>
  <c r="I504" i="19"/>
  <c r="K509" i="19" s="1"/>
  <c r="M494" i="19"/>
  <c r="M492" i="19" s="1"/>
  <c r="M490" i="19" s="1"/>
  <c r="L494" i="19"/>
  <c r="N494" i="19" s="1"/>
  <c r="L493" i="19"/>
  <c r="N491" i="19"/>
  <c r="J490" i="19"/>
  <c r="J489" i="19"/>
  <c r="I489" i="19"/>
  <c r="K489" i="19" s="1"/>
  <c r="J488" i="19"/>
  <c r="J473" i="19" s="1"/>
  <c r="I488" i="19"/>
  <c r="J487" i="19"/>
  <c r="I487" i="19"/>
  <c r="K487" i="19" s="1"/>
  <c r="J486" i="19"/>
  <c r="I486" i="19"/>
  <c r="J485" i="19"/>
  <c r="I485" i="19"/>
  <c r="K485" i="19" s="1"/>
  <c r="J484" i="19"/>
  <c r="I484" i="19"/>
  <c r="J483" i="19"/>
  <c r="I483" i="19"/>
  <c r="K483" i="19" s="1"/>
  <c r="J482" i="19"/>
  <c r="I482" i="19"/>
  <c r="M477" i="19"/>
  <c r="L477" i="19"/>
  <c r="L476" i="19"/>
  <c r="N476" i="19" s="1"/>
  <c r="N474" i="19"/>
  <c r="K472" i="19"/>
  <c r="K471" i="19"/>
  <c r="K470" i="19"/>
  <c r="K469" i="19"/>
  <c r="K468" i="19"/>
  <c r="J466" i="19"/>
  <c r="I466" i="19"/>
  <c r="I457" i="19" s="1"/>
  <c r="M461" i="19"/>
  <c r="L461" i="19"/>
  <c r="L460" i="19"/>
  <c r="N460" i="19" s="1"/>
  <c r="M459" i="19"/>
  <c r="N458" i="19"/>
  <c r="M457" i="19"/>
  <c r="I456" i="19"/>
  <c r="K456" i="19" s="1"/>
  <c r="I455" i="19"/>
  <c r="K455" i="19" s="1"/>
  <c r="I454" i="19"/>
  <c r="K454" i="19" s="1"/>
  <c r="I453" i="19"/>
  <c r="M448" i="19"/>
  <c r="L448" i="19"/>
  <c r="N448" i="19" s="1"/>
  <c r="L447" i="19"/>
  <c r="M446" i="19"/>
  <c r="N445" i="19"/>
  <c r="M444" i="19"/>
  <c r="J444" i="19"/>
  <c r="I441" i="19"/>
  <c r="K441" i="19" s="1"/>
  <c r="I440" i="19"/>
  <c r="K440" i="19" s="1"/>
  <c r="M430" i="19"/>
  <c r="L430" i="19"/>
  <c r="N430" i="19" s="1"/>
  <c r="L429" i="19"/>
  <c r="M428" i="19"/>
  <c r="N427" i="19"/>
  <c r="M426" i="19"/>
  <c r="J426" i="19"/>
  <c r="K425" i="19"/>
  <c r="K424" i="19"/>
  <c r="K423" i="19"/>
  <c r="K422" i="19"/>
  <c r="K421" i="19"/>
  <c r="K420" i="19"/>
  <c r="K417" i="19"/>
  <c r="J417" i="19"/>
  <c r="I419" i="19" s="1"/>
  <c r="K419" i="19" s="1"/>
  <c r="K416" i="19"/>
  <c r="J416" i="19"/>
  <c r="I418" i="19" s="1"/>
  <c r="K418" i="19" s="1"/>
  <c r="K415" i="19"/>
  <c r="J415" i="19"/>
  <c r="K414" i="19"/>
  <c r="J414" i="19"/>
  <c r="K413" i="19"/>
  <c r="J413" i="19"/>
  <c r="K412" i="19"/>
  <c r="J412" i="19"/>
  <c r="I411" i="19"/>
  <c r="K411" i="19" s="1"/>
  <c r="I410" i="19"/>
  <c r="K410" i="19" s="1"/>
  <c r="I409" i="19"/>
  <c r="K409" i="19" s="1"/>
  <c r="K408" i="19"/>
  <c r="K407" i="19"/>
  <c r="K406" i="19"/>
  <c r="K405" i="19"/>
  <c r="K404" i="19"/>
  <c r="K403" i="19"/>
  <c r="K402" i="19"/>
  <c r="J402" i="19"/>
  <c r="K401" i="19"/>
  <c r="J401" i="19"/>
  <c r="J391" i="19" s="1"/>
  <c r="J390" i="19" s="1"/>
  <c r="K400" i="19"/>
  <c r="K399" i="19"/>
  <c r="K398" i="19"/>
  <c r="K397" i="19"/>
  <c r="K396" i="19"/>
  <c r="K395" i="19"/>
  <c r="K394" i="19"/>
  <c r="J394" i="19"/>
  <c r="K393" i="19"/>
  <c r="J393" i="19"/>
  <c r="J392" i="19"/>
  <c r="I392" i="19"/>
  <c r="I391" i="19"/>
  <c r="I390" i="19"/>
  <c r="K389" i="19"/>
  <c r="K388" i="19"/>
  <c r="K387" i="19"/>
  <c r="K386" i="19"/>
  <c r="K385" i="19"/>
  <c r="K384" i="19"/>
  <c r="K383" i="19"/>
  <c r="J383" i="19"/>
  <c r="K382" i="19"/>
  <c r="J382" i="19"/>
  <c r="K381" i="19"/>
  <c r="K380" i="19"/>
  <c r="K379" i="19"/>
  <c r="K378" i="19"/>
  <c r="J377" i="19"/>
  <c r="J376" i="19"/>
  <c r="K375" i="19"/>
  <c r="K374" i="19"/>
  <c r="K373" i="19"/>
  <c r="K372" i="19"/>
  <c r="K371" i="19"/>
  <c r="K370" i="19"/>
  <c r="J369" i="19"/>
  <c r="J368" i="19"/>
  <c r="K367" i="19"/>
  <c r="K366" i="19"/>
  <c r="K365" i="19"/>
  <c r="K364" i="19"/>
  <c r="K363" i="19"/>
  <c r="K362" i="19"/>
  <c r="J361" i="19"/>
  <c r="I361" i="19"/>
  <c r="J360" i="19"/>
  <c r="I360" i="19"/>
  <c r="K360" i="19" s="1"/>
  <c r="J359" i="19"/>
  <c r="I359" i="19"/>
  <c r="M354" i="19"/>
  <c r="L354" i="19"/>
  <c r="L353" i="19"/>
  <c r="N353" i="19" s="1"/>
  <c r="N351" i="19"/>
  <c r="J350" i="19"/>
  <c r="I347" i="19"/>
  <c r="K347" i="19" s="1"/>
  <c r="I346" i="19"/>
  <c r="K346" i="19" s="1"/>
  <c r="I345" i="19"/>
  <c r="K345" i="19" s="1"/>
  <c r="J344" i="19"/>
  <c r="M334" i="19"/>
  <c r="L334" i="19"/>
  <c r="L333" i="19"/>
  <c r="N333" i="19" s="1"/>
  <c r="N331" i="19"/>
  <c r="J330" i="19"/>
  <c r="I327" i="19"/>
  <c r="K327" i="19" s="1"/>
  <c r="I326" i="19"/>
  <c r="J325" i="19"/>
  <c r="I324" i="19"/>
  <c r="K324" i="19" s="1"/>
  <c r="I323" i="19"/>
  <c r="K323" i="19" s="1"/>
  <c r="I322" i="19"/>
  <c r="K322" i="19" s="1"/>
  <c r="J321" i="19"/>
  <c r="I321" i="19"/>
  <c r="I320" i="19"/>
  <c r="K320" i="19" s="1"/>
  <c r="I319" i="19"/>
  <c r="K319" i="19" s="1"/>
  <c r="I318" i="19"/>
  <c r="K318" i="19" s="1"/>
  <c r="I317" i="19"/>
  <c r="J316" i="19"/>
  <c r="I316" i="19"/>
  <c r="K316" i="19" s="1"/>
  <c r="I315" i="19"/>
  <c r="K315" i="19" s="1"/>
  <c r="I314" i="19"/>
  <c r="K314" i="19" s="1"/>
  <c r="I313" i="19"/>
  <c r="K313" i="19" s="1"/>
  <c r="J312" i="19"/>
  <c r="J311" i="19" s="1"/>
  <c r="J297" i="19" s="1"/>
  <c r="I312" i="19"/>
  <c r="K312" i="19" s="1"/>
  <c r="M301" i="19"/>
  <c r="L301" i="19"/>
  <c r="N301" i="19" s="1"/>
  <c r="L300" i="19"/>
  <c r="N300" i="19" s="1"/>
  <c r="M299" i="19"/>
  <c r="M296" i="19" s="1"/>
  <c r="N298" i="19"/>
  <c r="J296" i="19"/>
  <c r="I293" i="19"/>
  <c r="K293" i="19" s="1"/>
  <c r="I292" i="19"/>
  <c r="K292" i="19" s="1"/>
  <c r="I291" i="19"/>
  <c r="M280" i="19"/>
  <c r="L280" i="19"/>
  <c r="N280" i="19" s="1"/>
  <c r="L279" i="19"/>
  <c r="M278" i="19"/>
  <c r="M275" i="19" s="1"/>
  <c r="N277" i="19"/>
  <c r="J276" i="19"/>
  <c r="J275" i="19"/>
  <c r="I272" i="19"/>
  <c r="K272" i="19" s="1"/>
  <c r="I271" i="19"/>
  <c r="K271" i="19" s="1"/>
  <c r="J270" i="19"/>
  <c r="J244" i="19" s="1"/>
  <c r="I268" i="19"/>
  <c r="K268" i="19" s="1"/>
  <c r="I266" i="19"/>
  <c r="K266" i="19" s="1"/>
  <c r="I264" i="19"/>
  <c r="K264" i="19" s="1"/>
  <c r="J263" i="19"/>
  <c r="I263" i="19"/>
  <c r="I245" i="19" s="1"/>
  <c r="K245" i="19" s="1"/>
  <c r="J262" i="19"/>
  <c r="I260" i="19"/>
  <c r="K260" i="19" s="1"/>
  <c r="J259" i="19"/>
  <c r="M249" i="19"/>
  <c r="L249" i="19"/>
  <c r="N249" i="19" s="1"/>
  <c r="L248" i="19"/>
  <c r="N248" i="19" s="1"/>
  <c r="M247" i="19"/>
  <c r="M244" i="19" s="1"/>
  <c r="N246" i="19"/>
  <c r="J245" i="19"/>
  <c r="K241" i="19"/>
  <c r="J241" i="19"/>
  <c r="J240" i="19"/>
  <c r="J228" i="19" s="1"/>
  <c r="I240" i="19"/>
  <c r="K239" i="19"/>
  <c r="J239" i="19"/>
  <c r="J238" i="19"/>
  <c r="I238" i="19"/>
  <c r="K237" i="19"/>
  <c r="J237" i="19"/>
  <c r="J236" i="19"/>
  <c r="I236" i="19"/>
  <c r="J235" i="19"/>
  <c r="I235" i="19"/>
  <c r="K234" i="19"/>
  <c r="J234" i="19"/>
  <c r="L232" i="19"/>
  <c r="N232" i="19" s="1"/>
  <c r="L231" i="19"/>
  <c r="M230" i="19"/>
  <c r="N229" i="19"/>
  <c r="M228" i="19"/>
  <c r="I224" i="19"/>
  <c r="L218" i="19"/>
  <c r="N217" i="19"/>
  <c r="M216" i="19"/>
  <c r="N215" i="19"/>
  <c r="M214" i="19"/>
  <c r="J214" i="19"/>
  <c r="I211" i="19"/>
  <c r="K211" i="19" s="1"/>
  <c r="I209" i="19"/>
  <c r="K209" i="19" s="1"/>
  <c r="L203" i="19"/>
  <c r="N203" i="19" s="1"/>
  <c r="N202" i="19"/>
  <c r="M201" i="19"/>
  <c r="N200" i="19"/>
  <c r="M199" i="19"/>
  <c r="J199" i="19"/>
  <c r="I195" i="19"/>
  <c r="L189" i="19"/>
  <c r="N189" i="19" s="1"/>
  <c r="L188" i="19"/>
  <c r="N188" i="19" s="1"/>
  <c r="M187" i="19"/>
  <c r="N186" i="19"/>
  <c r="M185" i="19"/>
  <c r="J185" i="19"/>
  <c r="I182" i="19"/>
  <c r="K182" i="19" s="1"/>
  <c r="I181" i="19"/>
  <c r="K181" i="19" s="1"/>
  <c r="I180" i="19"/>
  <c r="K180" i="19" s="1"/>
  <c r="I179" i="19"/>
  <c r="K179" i="19" s="1"/>
  <c r="L173" i="19"/>
  <c r="N173" i="19" s="1"/>
  <c r="L172" i="19"/>
  <c r="M171" i="19"/>
  <c r="N170" i="19"/>
  <c r="M169" i="19"/>
  <c r="J169" i="19"/>
  <c r="K164" i="19"/>
  <c r="K158" i="19"/>
  <c r="J158" i="19"/>
  <c r="I158" i="19"/>
  <c r="I155" i="19"/>
  <c r="J149" i="19"/>
  <c r="J144" i="19" s="1"/>
  <c r="L148" i="19"/>
  <c r="N147" i="19"/>
  <c r="M146" i="19"/>
  <c r="M144" i="19" s="1"/>
  <c r="N145" i="19"/>
  <c r="L141" i="19"/>
  <c r="N141" i="19" s="1"/>
  <c r="I141" i="19"/>
  <c r="K141" i="19" s="1"/>
  <c r="L140" i="19"/>
  <c r="N140" i="19" s="1"/>
  <c r="I140" i="19"/>
  <c r="K140" i="19" s="1"/>
  <c r="L138" i="19"/>
  <c r="N138" i="19" s="1"/>
  <c r="I138" i="19"/>
  <c r="K138" i="19" s="1"/>
  <c r="L132" i="19"/>
  <c r="M131" i="19"/>
  <c r="M129" i="19" s="1"/>
  <c r="N130" i="19"/>
  <c r="J129" i="19"/>
  <c r="L126" i="19"/>
  <c r="N126" i="19" s="1"/>
  <c r="I126" i="19"/>
  <c r="K126" i="19" s="1"/>
  <c r="L125" i="19"/>
  <c r="N125" i="19" s="1"/>
  <c r="I125" i="19"/>
  <c r="I124" i="19"/>
  <c r="K124" i="19" s="1"/>
  <c r="L117" i="19"/>
  <c r="M116" i="19"/>
  <c r="N115" i="19"/>
  <c r="M114" i="19"/>
  <c r="J114" i="19"/>
  <c r="L111" i="19"/>
  <c r="N111" i="19" s="1"/>
  <c r="I111" i="19"/>
  <c r="L110" i="19"/>
  <c r="N110" i="19" s="1"/>
  <c r="I110" i="19"/>
  <c r="K110" i="19" s="1"/>
  <c r="L104" i="19"/>
  <c r="M103" i="19"/>
  <c r="N102" i="19"/>
  <c r="M101" i="19"/>
  <c r="J101" i="19"/>
  <c r="L98" i="19"/>
  <c r="N98" i="19" s="1"/>
  <c r="I98" i="19"/>
  <c r="L92" i="19"/>
  <c r="M91" i="19"/>
  <c r="N90" i="19"/>
  <c r="M89" i="19"/>
  <c r="J89" i="19"/>
  <c r="J84" i="19"/>
  <c r="I83" i="19"/>
  <c r="L77" i="19"/>
  <c r="M76" i="19"/>
  <c r="N75" i="19"/>
  <c r="J74" i="19"/>
  <c r="M73" i="19"/>
  <c r="L72" i="19"/>
  <c r="M71" i="19"/>
  <c r="M68" i="19" s="1"/>
  <c r="N70" i="19"/>
  <c r="J68" i="19"/>
  <c r="I62" i="19"/>
  <c r="L56" i="19"/>
  <c r="N56" i="19" s="1"/>
  <c r="L55" i="19"/>
  <c r="M54" i="19"/>
  <c r="N53" i="19"/>
  <c r="M52" i="19"/>
  <c r="J52" i="19"/>
  <c r="I48" i="19"/>
  <c r="I47" i="19"/>
  <c r="K47" i="19" s="1"/>
  <c r="I46" i="19"/>
  <c r="K46" i="19" s="1"/>
  <c r="I45" i="19"/>
  <c r="K45" i="19" s="1"/>
  <c r="I44" i="19"/>
  <c r="I43" i="19"/>
  <c r="K43" i="19" s="1"/>
  <c r="L37" i="19"/>
  <c r="N37" i="19" s="1"/>
  <c r="L36" i="19"/>
  <c r="N36" i="19" s="1"/>
  <c r="M35" i="19"/>
  <c r="M32" i="19" s="1"/>
  <c r="L35" i="19"/>
  <c r="N35" i="19" s="1"/>
  <c r="N34" i="19"/>
  <c r="J33" i="19"/>
  <c r="J32" i="19"/>
  <c r="I28" i="19"/>
  <c r="K28" i="19" s="1"/>
  <c r="I27" i="19"/>
  <c r="K27" i="19" s="1"/>
  <c r="I26" i="19"/>
  <c r="K26" i="19" s="1"/>
  <c r="I25" i="19"/>
  <c r="I24" i="19"/>
  <c r="K24" i="19" s="1"/>
  <c r="I23" i="19"/>
  <c r="K23" i="19" s="1"/>
  <c r="I22" i="19"/>
  <c r="J21" i="19"/>
  <c r="J20" i="19"/>
  <c r="J9" i="19" s="1"/>
  <c r="L14" i="19"/>
  <c r="N14" i="19" s="1"/>
  <c r="L13" i="19"/>
  <c r="N13" i="19" s="1"/>
  <c r="M12" i="19"/>
  <c r="L12" i="19"/>
  <c r="N12" i="19" s="1"/>
  <c r="N11" i="19"/>
  <c r="J10" i="19"/>
  <c r="M9" i="19"/>
  <c r="J528" i="18"/>
  <c r="I528" i="18"/>
  <c r="J527" i="18"/>
  <c r="I527" i="18"/>
  <c r="J526" i="18"/>
  <c r="I526" i="18"/>
  <c r="K526" i="18" s="1"/>
  <c r="J525" i="18"/>
  <c r="I525" i="18"/>
  <c r="K525" i="18" s="1"/>
  <c r="J524" i="18"/>
  <c r="I524" i="18"/>
  <c r="J523" i="18"/>
  <c r="I523" i="18"/>
  <c r="J522" i="18"/>
  <c r="I522" i="18"/>
  <c r="J521" i="18"/>
  <c r="I521" i="18"/>
  <c r="J517" i="18"/>
  <c r="I517" i="18"/>
  <c r="J514" i="18"/>
  <c r="J513" i="18" s="1"/>
  <c r="I514" i="18"/>
  <c r="I513" i="18"/>
  <c r="K519" i="18" s="1"/>
  <c r="J510" i="18"/>
  <c r="I510" i="18"/>
  <c r="J504" i="18"/>
  <c r="J490" i="18" s="1"/>
  <c r="I504" i="18"/>
  <c r="M494" i="18"/>
  <c r="L494" i="18"/>
  <c r="L493" i="18"/>
  <c r="N493" i="18" s="1"/>
  <c r="M492" i="18"/>
  <c r="N491" i="18"/>
  <c r="M490" i="18"/>
  <c r="J489" i="18"/>
  <c r="I489" i="18"/>
  <c r="K489" i="18" s="1"/>
  <c r="J488" i="18"/>
  <c r="I488" i="18"/>
  <c r="J487" i="18"/>
  <c r="I487" i="18"/>
  <c r="K487" i="18" s="1"/>
  <c r="J486" i="18"/>
  <c r="I486" i="18"/>
  <c r="J485" i="18"/>
  <c r="I485" i="18"/>
  <c r="K485" i="18" s="1"/>
  <c r="J484" i="18"/>
  <c r="I484" i="18"/>
  <c r="J483" i="18"/>
  <c r="I483" i="18"/>
  <c r="K483" i="18" s="1"/>
  <c r="J482" i="18"/>
  <c r="I482" i="18"/>
  <c r="M477" i="18"/>
  <c r="M475" i="18" s="1"/>
  <c r="M473" i="18" s="1"/>
  <c r="L477" i="18"/>
  <c r="N477" i="18" s="1"/>
  <c r="L476" i="18"/>
  <c r="N474" i="18"/>
  <c r="K472" i="18"/>
  <c r="K471" i="18"/>
  <c r="K470" i="18"/>
  <c r="K469" i="18"/>
  <c r="K468" i="18"/>
  <c r="J466" i="18"/>
  <c r="I466" i="18"/>
  <c r="M461" i="18"/>
  <c r="M459" i="18" s="1"/>
  <c r="M457" i="18" s="1"/>
  <c r="L461" i="18"/>
  <c r="L460" i="18"/>
  <c r="N458" i="18"/>
  <c r="J457" i="18"/>
  <c r="I456" i="18"/>
  <c r="K456" i="18" s="1"/>
  <c r="I455" i="18"/>
  <c r="K455" i="18" s="1"/>
  <c r="I454" i="18"/>
  <c r="K454" i="18" s="1"/>
  <c r="I453" i="18"/>
  <c r="K453" i="18" s="1"/>
  <c r="M448" i="18"/>
  <c r="L448" i="18"/>
  <c r="L447" i="18"/>
  <c r="N447" i="18" s="1"/>
  <c r="M446" i="18"/>
  <c r="N445" i="18"/>
  <c r="M444" i="18"/>
  <c r="J444" i="18"/>
  <c r="I441" i="18"/>
  <c r="K441" i="18" s="1"/>
  <c r="I440" i="18"/>
  <c r="K440" i="18" s="1"/>
  <c r="M430" i="18"/>
  <c r="L430" i="18"/>
  <c r="N430" i="18" s="1"/>
  <c r="L429" i="18"/>
  <c r="M428" i="18"/>
  <c r="M426" i="18" s="1"/>
  <c r="N427" i="18"/>
  <c r="J426" i="18"/>
  <c r="K425" i="18"/>
  <c r="K424" i="18"/>
  <c r="K423" i="18"/>
  <c r="K422" i="18"/>
  <c r="K421" i="18"/>
  <c r="K420" i="18"/>
  <c r="K417" i="18"/>
  <c r="J417" i="18"/>
  <c r="I419" i="18" s="1"/>
  <c r="K419" i="18" s="1"/>
  <c r="K416" i="18"/>
  <c r="J416" i="18"/>
  <c r="I418" i="18" s="1"/>
  <c r="K418" i="18" s="1"/>
  <c r="K415" i="18"/>
  <c r="J415" i="18"/>
  <c r="K414" i="18"/>
  <c r="J414" i="18"/>
  <c r="K413" i="18"/>
  <c r="J413" i="18"/>
  <c r="K412" i="18"/>
  <c r="J412" i="18"/>
  <c r="I411" i="18"/>
  <c r="K411" i="18" s="1"/>
  <c r="I410" i="18"/>
  <c r="K410" i="18" s="1"/>
  <c r="I409" i="18"/>
  <c r="K409" i="18" s="1"/>
  <c r="K408" i="18"/>
  <c r="K407" i="18"/>
  <c r="K406" i="18"/>
  <c r="K405" i="18"/>
  <c r="K404" i="18"/>
  <c r="K403" i="18"/>
  <c r="K402" i="18"/>
  <c r="J402" i="18"/>
  <c r="J392" i="18" s="1"/>
  <c r="K401" i="18"/>
  <c r="J401" i="18"/>
  <c r="K400" i="18"/>
  <c r="K399" i="18"/>
  <c r="K398" i="18"/>
  <c r="K397" i="18"/>
  <c r="K396" i="18"/>
  <c r="K395" i="18"/>
  <c r="K394" i="18"/>
  <c r="J394" i="18"/>
  <c r="K393" i="18"/>
  <c r="J393" i="18"/>
  <c r="I392" i="18"/>
  <c r="J391" i="18"/>
  <c r="J390" i="18" s="1"/>
  <c r="I391" i="18"/>
  <c r="K391" i="18" s="1"/>
  <c r="I390" i="18"/>
  <c r="K389" i="18"/>
  <c r="K388" i="18"/>
  <c r="K387" i="18"/>
  <c r="K386" i="18"/>
  <c r="K385" i="18"/>
  <c r="K384" i="18"/>
  <c r="K383" i="18"/>
  <c r="J383" i="18"/>
  <c r="K382" i="18"/>
  <c r="J382" i="18"/>
  <c r="K381" i="18"/>
  <c r="K380" i="18"/>
  <c r="K379" i="18"/>
  <c r="K378" i="18"/>
  <c r="J377" i="18"/>
  <c r="J376" i="18"/>
  <c r="J359" i="18" s="1"/>
  <c r="J350" i="18" s="1"/>
  <c r="K375" i="18"/>
  <c r="K374" i="18"/>
  <c r="K373" i="18"/>
  <c r="K372" i="18"/>
  <c r="K371" i="18"/>
  <c r="K370" i="18"/>
  <c r="J369" i="18"/>
  <c r="J368" i="18"/>
  <c r="K367" i="18"/>
  <c r="K366" i="18"/>
  <c r="K365" i="18"/>
  <c r="K364" i="18"/>
  <c r="K363" i="18"/>
  <c r="K362" i="18"/>
  <c r="J361" i="18"/>
  <c r="I361" i="18"/>
  <c r="I377" i="18" s="1"/>
  <c r="J360" i="18"/>
  <c r="I360" i="18"/>
  <c r="K360" i="18" s="1"/>
  <c r="I359" i="18"/>
  <c r="I368" i="18" s="1"/>
  <c r="K368" i="18" s="1"/>
  <c r="M354" i="18"/>
  <c r="M352" i="18" s="1"/>
  <c r="M350" i="18" s="1"/>
  <c r="L354" i="18"/>
  <c r="N354" i="18" s="1"/>
  <c r="L353" i="18"/>
  <c r="N353" i="18" s="1"/>
  <c r="N351" i="18"/>
  <c r="I347" i="18"/>
  <c r="K347" i="18" s="1"/>
  <c r="I346" i="18"/>
  <c r="K346" i="18" s="1"/>
  <c r="I345" i="18"/>
  <c r="J344" i="18"/>
  <c r="M334" i="18"/>
  <c r="L334" i="18"/>
  <c r="N334" i="18" s="1"/>
  <c r="L333" i="18"/>
  <c r="M332" i="18"/>
  <c r="N331" i="18"/>
  <c r="M330" i="18"/>
  <c r="J330" i="18"/>
  <c r="I327" i="18"/>
  <c r="K327" i="18" s="1"/>
  <c r="I326" i="18"/>
  <c r="K326" i="18" s="1"/>
  <c r="J325" i="18"/>
  <c r="I324" i="18"/>
  <c r="K324" i="18" s="1"/>
  <c r="I323" i="18"/>
  <c r="K323" i="18" s="1"/>
  <c r="I322" i="18"/>
  <c r="K322" i="18" s="1"/>
  <c r="J321" i="18"/>
  <c r="I321" i="18"/>
  <c r="K321" i="18" s="1"/>
  <c r="I320" i="18"/>
  <c r="K320" i="18" s="1"/>
  <c r="I319" i="18"/>
  <c r="K319" i="18" s="1"/>
  <c r="I318" i="18"/>
  <c r="K318" i="18" s="1"/>
  <c r="I317" i="18"/>
  <c r="K317" i="18" s="1"/>
  <c r="J316" i="18"/>
  <c r="I316" i="18"/>
  <c r="K316" i="18" s="1"/>
  <c r="I315" i="18"/>
  <c r="K315" i="18" s="1"/>
  <c r="I314" i="18"/>
  <c r="K314" i="18" s="1"/>
  <c r="I313" i="18"/>
  <c r="K313" i="18" s="1"/>
  <c r="J312" i="18"/>
  <c r="J311" i="18" s="1"/>
  <c r="J297" i="18" s="1"/>
  <c r="I312" i="18"/>
  <c r="M301" i="18"/>
  <c r="L301" i="18"/>
  <c r="N301" i="18" s="1"/>
  <c r="L300" i="18"/>
  <c r="M299" i="18"/>
  <c r="M296" i="18" s="1"/>
  <c r="M242" i="18" s="1"/>
  <c r="N298" i="18"/>
  <c r="J296" i="18"/>
  <c r="I293" i="18"/>
  <c r="K293" i="18" s="1"/>
  <c r="I292" i="18"/>
  <c r="K292" i="18" s="1"/>
  <c r="I291" i="18"/>
  <c r="M280" i="18"/>
  <c r="L280" i="18"/>
  <c r="N280" i="18" s="1"/>
  <c r="L279" i="18"/>
  <c r="M278" i="18"/>
  <c r="M275" i="18" s="1"/>
  <c r="N277" i="18"/>
  <c r="J276" i="18"/>
  <c r="J275" i="18"/>
  <c r="I272" i="18"/>
  <c r="I271" i="18"/>
  <c r="K271" i="18" s="1"/>
  <c r="J270" i="18"/>
  <c r="J244" i="18" s="1"/>
  <c r="I268" i="18"/>
  <c r="K268" i="18" s="1"/>
  <c r="I266" i="18"/>
  <c r="K266" i="18" s="1"/>
  <c r="I264" i="18"/>
  <c r="J263" i="18"/>
  <c r="J245" i="18" s="1"/>
  <c r="I263" i="18"/>
  <c r="J262" i="18"/>
  <c r="I260" i="18"/>
  <c r="K260" i="18" s="1"/>
  <c r="J259" i="18"/>
  <c r="M249" i="18"/>
  <c r="L249" i="18"/>
  <c r="N249" i="18" s="1"/>
  <c r="L248" i="18"/>
  <c r="M247" i="18"/>
  <c r="M244" i="18" s="1"/>
  <c r="N246" i="18"/>
  <c r="K241" i="18"/>
  <c r="J241" i="18"/>
  <c r="J240" i="18"/>
  <c r="J228" i="18" s="1"/>
  <c r="I240" i="18"/>
  <c r="K239" i="18"/>
  <c r="J239" i="18"/>
  <c r="J238" i="18"/>
  <c r="I238" i="18"/>
  <c r="K237" i="18"/>
  <c r="J237" i="18"/>
  <c r="J236" i="18"/>
  <c r="I236" i="18"/>
  <c r="J235" i="18"/>
  <c r="I235" i="18"/>
  <c r="K234" i="18"/>
  <c r="J234" i="18"/>
  <c r="L232" i="18"/>
  <c r="N232" i="18" s="1"/>
  <c r="L231" i="18"/>
  <c r="M230" i="18"/>
  <c r="N229" i="18"/>
  <c r="M228" i="18"/>
  <c r="I224" i="18"/>
  <c r="I214" i="18" s="1"/>
  <c r="K214" i="18" s="1"/>
  <c r="L218" i="18"/>
  <c r="N218" i="18" s="1"/>
  <c r="N217" i="18"/>
  <c r="M216" i="18"/>
  <c r="N215" i="18"/>
  <c r="M214" i="18"/>
  <c r="J214" i="18"/>
  <c r="I211" i="18"/>
  <c r="K211" i="18" s="1"/>
  <c r="I209" i="18"/>
  <c r="K209" i="18" s="1"/>
  <c r="L203" i="18"/>
  <c r="N203" i="18" s="1"/>
  <c r="N202" i="18"/>
  <c r="M201" i="18"/>
  <c r="N200" i="18"/>
  <c r="M199" i="18"/>
  <c r="J199" i="18"/>
  <c r="I195" i="18"/>
  <c r="L189" i="18"/>
  <c r="N189" i="18" s="1"/>
  <c r="L188" i="18"/>
  <c r="M187" i="18"/>
  <c r="N186" i="18"/>
  <c r="M185" i="18"/>
  <c r="J185" i="18"/>
  <c r="I182" i="18"/>
  <c r="K182" i="18" s="1"/>
  <c r="I181" i="18"/>
  <c r="K181" i="18" s="1"/>
  <c r="I180" i="18"/>
  <c r="I179" i="18"/>
  <c r="K179" i="18" s="1"/>
  <c r="L173" i="18"/>
  <c r="N173" i="18" s="1"/>
  <c r="L172" i="18"/>
  <c r="N172" i="18" s="1"/>
  <c r="M171" i="18"/>
  <c r="N170" i="18"/>
  <c r="M169" i="18"/>
  <c r="J169" i="18"/>
  <c r="K164" i="18"/>
  <c r="J158" i="18"/>
  <c r="I158" i="18"/>
  <c r="K158" i="18" s="1"/>
  <c r="I155" i="18"/>
  <c r="K155" i="18" s="1"/>
  <c r="J149" i="18"/>
  <c r="J144" i="18" s="1"/>
  <c r="L148" i="18"/>
  <c r="N148" i="18" s="1"/>
  <c r="N147" i="18"/>
  <c r="M146" i="18"/>
  <c r="N145" i="18"/>
  <c r="M144" i="18"/>
  <c r="L141" i="18"/>
  <c r="N141" i="18" s="1"/>
  <c r="I141" i="18"/>
  <c r="K141" i="18" s="1"/>
  <c r="L140" i="18"/>
  <c r="N140" i="18" s="1"/>
  <c r="I140" i="18"/>
  <c r="K140" i="18" s="1"/>
  <c r="N139" i="18"/>
  <c r="N138" i="18"/>
  <c r="I138" i="18"/>
  <c r="K138" i="18" s="1"/>
  <c r="M137" i="18"/>
  <c r="L137" i="18"/>
  <c r="N137" i="18" s="1"/>
  <c r="L132" i="18"/>
  <c r="M131" i="18"/>
  <c r="N130" i="18"/>
  <c r="M129" i="18"/>
  <c r="J129" i="18"/>
  <c r="L126" i="18"/>
  <c r="N126" i="18" s="1"/>
  <c r="I126" i="18"/>
  <c r="K126" i="18" s="1"/>
  <c r="L125" i="18"/>
  <c r="N125" i="18" s="1"/>
  <c r="I125" i="18"/>
  <c r="K125" i="18" s="1"/>
  <c r="I124" i="18"/>
  <c r="K124" i="18" s="1"/>
  <c r="L117" i="18"/>
  <c r="L116" i="18" s="1"/>
  <c r="L114" i="18" s="1"/>
  <c r="M116" i="18"/>
  <c r="M114" i="18" s="1"/>
  <c r="N115" i="18"/>
  <c r="J114" i="18"/>
  <c r="I114" i="18"/>
  <c r="K114" i="18" s="1"/>
  <c r="L111" i="18"/>
  <c r="N111" i="18" s="1"/>
  <c r="I111" i="18"/>
  <c r="K111" i="18" s="1"/>
  <c r="L110" i="18"/>
  <c r="N110" i="18" s="1"/>
  <c r="I110" i="18"/>
  <c r="K110" i="18" s="1"/>
  <c r="L104" i="18"/>
  <c r="M103" i="18"/>
  <c r="M101" i="18" s="1"/>
  <c r="N102" i="18"/>
  <c r="J101" i="18"/>
  <c r="L98" i="18"/>
  <c r="N98" i="18" s="1"/>
  <c r="I98" i="18"/>
  <c r="L92" i="18"/>
  <c r="M91" i="18"/>
  <c r="M89" i="18" s="1"/>
  <c r="N90" i="18"/>
  <c r="J89" i="18"/>
  <c r="J84" i="18"/>
  <c r="I83" i="18"/>
  <c r="K83" i="18" s="1"/>
  <c r="L77" i="18"/>
  <c r="M76" i="18"/>
  <c r="N75" i="18"/>
  <c r="M74" i="18"/>
  <c r="J74" i="18"/>
  <c r="M73" i="18"/>
  <c r="M71" i="18" s="1"/>
  <c r="M68" i="18" s="1"/>
  <c r="L72" i="18"/>
  <c r="N70" i="18"/>
  <c r="J68" i="18"/>
  <c r="I62" i="18"/>
  <c r="K62" i="18" s="1"/>
  <c r="L56" i="18"/>
  <c r="L55" i="18"/>
  <c r="N55" i="18" s="1"/>
  <c r="M54" i="18"/>
  <c r="N53" i="18"/>
  <c r="M52" i="18"/>
  <c r="J52" i="18"/>
  <c r="I48" i="18"/>
  <c r="I33" i="18" s="1"/>
  <c r="K33" i="18" s="1"/>
  <c r="I47" i="18"/>
  <c r="K47" i="18" s="1"/>
  <c r="I46" i="18"/>
  <c r="K46" i="18" s="1"/>
  <c r="I45" i="18"/>
  <c r="K45" i="18" s="1"/>
  <c r="I44" i="18"/>
  <c r="I43" i="18"/>
  <c r="K43" i="18" s="1"/>
  <c r="L37" i="18"/>
  <c r="N37" i="18" s="1"/>
  <c r="L36" i="18"/>
  <c r="N36" i="18" s="1"/>
  <c r="M35" i="18"/>
  <c r="L35" i="18"/>
  <c r="N34" i="18"/>
  <c r="J33" i="18"/>
  <c r="M32" i="18"/>
  <c r="J32" i="18"/>
  <c r="K28" i="18"/>
  <c r="I27" i="18"/>
  <c r="K27" i="18" s="1"/>
  <c r="I26" i="18"/>
  <c r="K26" i="18" s="1"/>
  <c r="I25" i="18"/>
  <c r="K25" i="18" s="1"/>
  <c r="I24" i="18"/>
  <c r="K24" i="18" s="1"/>
  <c r="I23" i="18"/>
  <c r="I22" i="18"/>
  <c r="J21" i="18"/>
  <c r="J10" i="18" s="1"/>
  <c r="J20" i="18"/>
  <c r="L14" i="18"/>
  <c r="N14" i="18" s="1"/>
  <c r="L13" i="18"/>
  <c r="N13" i="18" s="1"/>
  <c r="M12" i="18"/>
  <c r="L12" i="18"/>
  <c r="N11" i="18"/>
  <c r="M9" i="18"/>
  <c r="J9" i="18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17" i="17"/>
  <c r="I517" i="17"/>
  <c r="J514" i="17"/>
  <c r="I514" i="17"/>
  <c r="J513" i="17"/>
  <c r="I513" i="17"/>
  <c r="K518" i="17" s="1"/>
  <c r="J510" i="17"/>
  <c r="I510" i="17"/>
  <c r="J504" i="17"/>
  <c r="I504" i="17"/>
  <c r="M494" i="17"/>
  <c r="M492" i="17" s="1"/>
  <c r="M490" i="17" s="1"/>
  <c r="L494" i="17"/>
  <c r="L493" i="17"/>
  <c r="N493" i="17" s="1"/>
  <c r="N491" i="17"/>
  <c r="J490" i="17"/>
  <c r="J489" i="17"/>
  <c r="I489" i="17"/>
  <c r="K489" i="17" s="1"/>
  <c r="J488" i="17"/>
  <c r="J473" i="17" s="1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I473" i="17" s="1"/>
  <c r="K473" i="17" s="1"/>
  <c r="J483" i="17"/>
  <c r="I483" i="17"/>
  <c r="K483" i="17" s="1"/>
  <c r="J482" i="17"/>
  <c r="I482" i="17"/>
  <c r="K482" i="17" s="1"/>
  <c r="M477" i="17"/>
  <c r="L477" i="17"/>
  <c r="L476" i="17"/>
  <c r="N476" i="17" s="1"/>
  <c r="M475" i="17"/>
  <c r="M473" i="17" s="1"/>
  <c r="N474" i="17"/>
  <c r="K472" i="17"/>
  <c r="K471" i="17"/>
  <c r="K470" i="17"/>
  <c r="K469" i="17"/>
  <c r="K468" i="17"/>
  <c r="J466" i="17"/>
  <c r="J457" i="17" s="1"/>
  <c r="I466" i="17"/>
  <c r="M461" i="17"/>
  <c r="L461" i="17"/>
  <c r="N461" i="17" s="1"/>
  <c r="L460" i="17"/>
  <c r="M459" i="17"/>
  <c r="N458" i="17"/>
  <c r="M457" i="17"/>
  <c r="I456" i="17"/>
  <c r="K456" i="17" s="1"/>
  <c r="I455" i="17"/>
  <c r="K455" i="17" s="1"/>
  <c r="I454" i="17"/>
  <c r="K454" i="17" s="1"/>
  <c r="I453" i="17"/>
  <c r="K453" i="17" s="1"/>
  <c r="M448" i="17"/>
  <c r="M446" i="17" s="1"/>
  <c r="M444" i="17" s="1"/>
  <c r="L448" i="17"/>
  <c r="N448" i="17" s="1"/>
  <c r="L447" i="17"/>
  <c r="N445" i="17"/>
  <c r="J444" i="17"/>
  <c r="I441" i="17"/>
  <c r="K441" i="17" s="1"/>
  <c r="I440" i="17"/>
  <c r="I426" i="17" s="1"/>
  <c r="M430" i="17"/>
  <c r="M428" i="17" s="1"/>
  <c r="M426" i="17" s="1"/>
  <c r="L430" i="17"/>
  <c r="N430" i="17" s="1"/>
  <c r="L429" i="17"/>
  <c r="N429" i="17" s="1"/>
  <c r="N427" i="17"/>
  <c r="J426" i="17"/>
  <c r="K425" i="17"/>
  <c r="K424" i="17"/>
  <c r="K423" i="17"/>
  <c r="K422" i="17"/>
  <c r="K421" i="17"/>
  <c r="K420" i="17"/>
  <c r="K417" i="17"/>
  <c r="J417" i="17"/>
  <c r="I419" i="17" s="1"/>
  <c r="K419" i="17" s="1"/>
  <c r="K416" i="17"/>
  <c r="J416" i="17"/>
  <c r="I418" i="17" s="1"/>
  <c r="K418" i="17" s="1"/>
  <c r="K415" i="17"/>
  <c r="J415" i="17"/>
  <c r="K414" i="17"/>
  <c r="J414" i="17"/>
  <c r="K413" i="17"/>
  <c r="J413" i="17"/>
  <c r="K412" i="17"/>
  <c r="J412" i="17"/>
  <c r="I411" i="17"/>
  <c r="K411" i="17" s="1"/>
  <c r="I410" i="17"/>
  <c r="K410" i="17" s="1"/>
  <c r="I409" i="17"/>
  <c r="K409" i="17" s="1"/>
  <c r="K408" i="17"/>
  <c r="K407" i="17"/>
  <c r="K406" i="17"/>
  <c r="K405" i="17"/>
  <c r="K404" i="17"/>
  <c r="K403" i="17"/>
  <c r="K402" i="17"/>
  <c r="J402" i="17"/>
  <c r="J392" i="17" s="1"/>
  <c r="K401" i="17"/>
  <c r="J401" i="17"/>
  <c r="K400" i="17"/>
  <c r="K399" i="17"/>
  <c r="K398" i="17"/>
  <c r="K397" i="17"/>
  <c r="K396" i="17"/>
  <c r="K395" i="17"/>
  <c r="K394" i="17"/>
  <c r="J394" i="17"/>
  <c r="K393" i="17"/>
  <c r="J393" i="17"/>
  <c r="J391" i="17" s="1"/>
  <c r="I392" i="17"/>
  <c r="K392" i="17" s="1"/>
  <c r="I391" i="17"/>
  <c r="I390" i="17"/>
  <c r="K389" i="17"/>
  <c r="K388" i="17"/>
  <c r="K387" i="17"/>
  <c r="K386" i="17"/>
  <c r="K385" i="17"/>
  <c r="K384" i="17"/>
  <c r="K383" i="17"/>
  <c r="J383" i="17"/>
  <c r="K382" i="17"/>
  <c r="J382" i="17"/>
  <c r="J376" i="17" s="1"/>
  <c r="K381" i="17"/>
  <c r="K380" i="17"/>
  <c r="K379" i="17"/>
  <c r="K378" i="17"/>
  <c r="J377" i="17"/>
  <c r="K375" i="17"/>
  <c r="K374" i="17"/>
  <c r="K373" i="17"/>
  <c r="K372" i="17"/>
  <c r="K371" i="17"/>
  <c r="K370" i="17"/>
  <c r="J369" i="17"/>
  <c r="J368" i="17"/>
  <c r="K367" i="17"/>
  <c r="K366" i="17"/>
  <c r="K365" i="17"/>
  <c r="K364" i="17"/>
  <c r="K363" i="17"/>
  <c r="K362" i="17"/>
  <c r="J361" i="17"/>
  <c r="I361" i="17"/>
  <c r="J360" i="17"/>
  <c r="I360" i="17"/>
  <c r="K360" i="17" s="1"/>
  <c r="J359" i="17"/>
  <c r="J350" i="17" s="1"/>
  <c r="I359" i="17"/>
  <c r="I376" i="17" s="1"/>
  <c r="K376" i="17" s="1"/>
  <c r="M354" i="17"/>
  <c r="L354" i="17"/>
  <c r="L353" i="17"/>
  <c r="N353" i="17" s="1"/>
  <c r="M352" i="17"/>
  <c r="N351" i="17"/>
  <c r="M350" i="17"/>
  <c r="I347" i="17"/>
  <c r="K347" i="17" s="1"/>
  <c r="I346" i="17"/>
  <c r="I345" i="17"/>
  <c r="K345" i="17" s="1"/>
  <c r="J344" i="17"/>
  <c r="J330" i="17" s="1"/>
  <c r="M334" i="17"/>
  <c r="L334" i="17"/>
  <c r="L333" i="17"/>
  <c r="N333" i="17" s="1"/>
  <c r="M332" i="17"/>
  <c r="M330" i="17" s="1"/>
  <c r="N331" i="17"/>
  <c r="I327" i="17"/>
  <c r="K327" i="17" s="1"/>
  <c r="I326" i="17"/>
  <c r="J325" i="17"/>
  <c r="I324" i="17"/>
  <c r="K324" i="17" s="1"/>
  <c r="I323" i="17"/>
  <c r="K323" i="17" s="1"/>
  <c r="I322" i="17"/>
  <c r="K322" i="17" s="1"/>
  <c r="J321" i="17"/>
  <c r="I321" i="17"/>
  <c r="K321" i="17" s="1"/>
  <c r="I320" i="17"/>
  <c r="K320" i="17" s="1"/>
  <c r="I319" i="17"/>
  <c r="K319" i="17" s="1"/>
  <c r="I318" i="17"/>
  <c r="K318" i="17" s="1"/>
  <c r="I317" i="17"/>
  <c r="J316" i="17"/>
  <c r="I316" i="17"/>
  <c r="K316" i="17" s="1"/>
  <c r="I315" i="17"/>
  <c r="K315" i="17" s="1"/>
  <c r="I314" i="17"/>
  <c r="K314" i="17" s="1"/>
  <c r="I313" i="17"/>
  <c r="K313" i="17" s="1"/>
  <c r="J312" i="17"/>
  <c r="J311" i="17" s="1"/>
  <c r="J297" i="17" s="1"/>
  <c r="I312" i="17"/>
  <c r="M301" i="17"/>
  <c r="M299" i="17" s="1"/>
  <c r="M296" i="17" s="1"/>
  <c r="L301" i="17"/>
  <c r="N301" i="17" s="1"/>
  <c r="L300" i="17"/>
  <c r="N298" i="17"/>
  <c r="J296" i="17"/>
  <c r="I293" i="17"/>
  <c r="K293" i="17" s="1"/>
  <c r="I292" i="17"/>
  <c r="K292" i="17" s="1"/>
  <c r="I291" i="17"/>
  <c r="K291" i="17" s="1"/>
  <c r="M280" i="17"/>
  <c r="M278" i="17" s="1"/>
  <c r="L280" i="17"/>
  <c r="N280" i="17" s="1"/>
  <c r="L279" i="17"/>
  <c r="N277" i="17"/>
  <c r="J276" i="17"/>
  <c r="I276" i="17"/>
  <c r="K276" i="17" s="1"/>
  <c r="M275" i="17"/>
  <c r="J275" i="17"/>
  <c r="I272" i="17"/>
  <c r="K272" i="17" s="1"/>
  <c r="I271" i="17"/>
  <c r="K271" i="17" s="1"/>
  <c r="J270" i="17"/>
  <c r="I268" i="17"/>
  <c r="K268" i="17" s="1"/>
  <c r="I266" i="17"/>
  <c r="I264" i="17"/>
  <c r="K264" i="17" s="1"/>
  <c r="J263" i="17"/>
  <c r="I263" i="17"/>
  <c r="I267" i="17" s="1"/>
  <c r="K267" i="17" s="1"/>
  <c r="J262" i="17"/>
  <c r="I260" i="17"/>
  <c r="K260" i="17" s="1"/>
  <c r="M249" i="17"/>
  <c r="M247" i="17" s="1"/>
  <c r="L249" i="17"/>
  <c r="N249" i="17" s="1"/>
  <c r="L248" i="17"/>
  <c r="N246" i="17"/>
  <c r="M244" i="17"/>
  <c r="J244" i="17"/>
  <c r="K241" i="17"/>
  <c r="J241" i="17"/>
  <c r="J240" i="17"/>
  <c r="J228" i="17" s="1"/>
  <c r="I240" i="17"/>
  <c r="K239" i="17"/>
  <c r="J239" i="17"/>
  <c r="J238" i="17"/>
  <c r="I238" i="17"/>
  <c r="K237" i="17"/>
  <c r="J237" i="17"/>
  <c r="J236" i="17"/>
  <c r="I236" i="17"/>
  <c r="I228" i="17" s="1"/>
  <c r="J235" i="17"/>
  <c r="I235" i="17"/>
  <c r="K234" i="17"/>
  <c r="J234" i="17"/>
  <c r="L232" i="17"/>
  <c r="N232" i="17" s="1"/>
  <c r="L231" i="17"/>
  <c r="M230" i="17"/>
  <c r="N229" i="17"/>
  <c r="M228" i="17"/>
  <c r="I224" i="17"/>
  <c r="K224" i="17" s="1"/>
  <c r="L218" i="17"/>
  <c r="N218" i="17" s="1"/>
  <c r="N217" i="17"/>
  <c r="M216" i="17"/>
  <c r="N215" i="17"/>
  <c r="M214" i="17"/>
  <c r="J214" i="17"/>
  <c r="I211" i="17"/>
  <c r="K211" i="17" s="1"/>
  <c r="I209" i="17"/>
  <c r="L203" i="17"/>
  <c r="N203" i="17" s="1"/>
  <c r="N202" i="17"/>
  <c r="M201" i="17"/>
  <c r="N200" i="17"/>
  <c r="M199" i="17"/>
  <c r="J199" i="17"/>
  <c r="I195" i="17"/>
  <c r="L189" i="17"/>
  <c r="N189" i="17" s="1"/>
  <c r="L188" i="17"/>
  <c r="M187" i="17"/>
  <c r="N186" i="17"/>
  <c r="M185" i="17"/>
  <c r="J185" i="17"/>
  <c r="I182" i="17"/>
  <c r="K182" i="17" s="1"/>
  <c r="I181" i="17"/>
  <c r="K181" i="17" s="1"/>
  <c r="I180" i="17"/>
  <c r="K180" i="17" s="1"/>
  <c r="I179" i="17"/>
  <c r="K179" i="17" s="1"/>
  <c r="L173" i="17"/>
  <c r="N173" i="17" s="1"/>
  <c r="L172" i="17"/>
  <c r="N172" i="17" s="1"/>
  <c r="M171" i="17"/>
  <c r="M169" i="17" s="1"/>
  <c r="N170" i="17"/>
  <c r="J169" i="17"/>
  <c r="K164" i="17"/>
  <c r="J158" i="17"/>
  <c r="I158" i="17"/>
  <c r="K158" i="17" s="1"/>
  <c r="I155" i="17"/>
  <c r="I149" i="17" s="1"/>
  <c r="J149" i="17"/>
  <c r="L148" i="17"/>
  <c r="N148" i="17" s="1"/>
  <c r="N147" i="17"/>
  <c r="M146" i="17"/>
  <c r="N145" i="17"/>
  <c r="M144" i="17"/>
  <c r="J144" i="17"/>
  <c r="L141" i="17"/>
  <c r="N141" i="17" s="1"/>
  <c r="I141" i="17"/>
  <c r="K141" i="17" s="1"/>
  <c r="L140" i="17"/>
  <c r="N140" i="17" s="1"/>
  <c r="I140" i="17"/>
  <c r="K140" i="17" s="1"/>
  <c r="L138" i="17"/>
  <c r="N138" i="17" s="1"/>
  <c r="I138" i="17"/>
  <c r="I129" i="17" s="1"/>
  <c r="K129" i="17" s="1"/>
  <c r="L132" i="17"/>
  <c r="M131" i="17"/>
  <c r="N130" i="17"/>
  <c r="M129" i="17"/>
  <c r="J129" i="17"/>
  <c r="L126" i="17"/>
  <c r="N126" i="17" s="1"/>
  <c r="I126" i="17"/>
  <c r="L125" i="17"/>
  <c r="N125" i="17" s="1"/>
  <c r="I125" i="17"/>
  <c r="I114" i="17" s="1"/>
  <c r="K114" i="17" s="1"/>
  <c r="I124" i="17"/>
  <c r="K124" i="17" s="1"/>
  <c r="L117" i="17"/>
  <c r="M116" i="17"/>
  <c r="N115" i="17"/>
  <c r="M114" i="17"/>
  <c r="J114" i="17"/>
  <c r="L111" i="17"/>
  <c r="N111" i="17" s="1"/>
  <c r="I111" i="17"/>
  <c r="L110" i="17"/>
  <c r="N110" i="17" s="1"/>
  <c r="I110" i="17"/>
  <c r="K110" i="17" s="1"/>
  <c r="L104" i="17"/>
  <c r="N104" i="17" s="1"/>
  <c r="M103" i="17"/>
  <c r="N102" i="17"/>
  <c r="M101" i="17"/>
  <c r="J101" i="17"/>
  <c r="L98" i="17"/>
  <c r="N98" i="17" s="1"/>
  <c r="I98" i="17"/>
  <c r="K98" i="17" s="1"/>
  <c r="L92" i="17"/>
  <c r="M91" i="17"/>
  <c r="N90" i="17"/>
  <c r="M89" i="17"/>
  <c r="J89" i="17"/>
  <c r="J84" i="17"/>
  <c r="I83" i="17"/>
  <c r="I74" i="17" s="1"/>
  <c r="K74" i="17" s="1"/>
  <c r="L77" i="17"/>
  <c r="M76" i="17"/>
  <c r="N75" i="17"/>
  <c r="M74" i="17"/>
  <c r="J74" i="17"/>
  <c r="M73" i="17"/>
  <c r="M71" i="17" s="1"/>
  <c r="M68" i="17" s="1"/>
  <c r="L72" i="17"/>
  <c r="N72" i="17" s="1"/>
  <c r="N70" i="17"/>
  <c r="J68" i="17"/>
  <c r="I62" i="17"/>
  <c r="I52" i="17" s="1"/>
  <c r="K52" i="17" s="1"/>
  <c r="L56" i="17"/>
  <c r="N56" i="17" s="1"/>
  <c r="L55" i="17"/>
  <c r="M54" i="17"/>
  <c r="N53" i="17"/>
  <c r="M52" i="17"/>
  <c r="J52" i="17"/>
  <c r="I48" i="17"/>
  <c r="I33" i="17" s="1"/>
  <c r="K33" i="17" s="1"/>
  <c r="I47" i="17"/>
  <c r="K47" i="17" s="1"/>
  <c r="I46" i="17"/>
  <c r="K46" i="17" s="1"/>
  <c r="I45" i="17"/>
  <c r="K45" i="17" s="1"/>
  <c r="I44" i="17"/>
  <c r="I43" i="17"/>
  <c r="K43" i="17" s="1"/>
  <c r="L37" i="17"/>
  <c r="N37" i="17" s="1"/>
  <c r="L36" i="17"/>
  <c r="N36" i="17" s="1"/>
  <c r="M35" i="17"/>
  <c r="L35" i="17"/>
  <c r="N35" i="17" s="1"/>
  <c r="N34" i="17"/>
  <c r="J33" i="17"/>
  <c r="M32" i="17"/>
  <c r="J32" i="17"/>
  <c r="K28" i="17"/>
  <c r="I27" i="17"/>
  <c r="I26" i="17"/>
  <c r="K26" i="17" s="1"/>
  <c r="I25" i="17"/>
  <c r="K25" i="17" s="1"/>
  <c r="I24" i="17"/>
  <c r="K24" i="17" s="1"/>
  <c r="I23" i="17"/>
  <c r="K23" i="17" s="1"/>
  <c r="I22" i="17"/>
  <c r="J21" i="17"/>
  <c r="J10" i="17" s="1"/>
  <c r="J20" i="17"/>
  <c r="L14" i="17"/>
  <c r="N14" i="17" s="1"/>
  <c r="L13" i="17"/>
  <c r="N13" i="17" s="1"/>
  <c r="M12" i="17"/>
  <c r="L12" i="17"/>
  <c r="N12" i="17" s="1"/>
  <c r="N11" i="17"/>
  <c r="M9" i="17"/>
  <c r="J9" i="17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17" i="16"/>
  <c r="I517" i="16"/>
  <c r="J514" i="16"/>
  <c r="J513" i="16" s="1"/>
  <c r="I514" i="16"/>
  <c r="I513" i="16"/>
  <c r="K519" i="16" s="1"/>
  <c r="J510" i="16"/>
  <c r="I510" i="16"/>
  <c r="J504" i="16"/>
  <c r="I504" i="16"/>
  <c r="I490" i="16" s="1"/>
  <c r="M494" i="16"/>
  <c r="L494" i="16"/>
  <c r="L493" i="16"/>
  <c r="N493" i="16" s="1"/>
  <c r="M492" i="16"/>
  <c r="N491" i="16"/>
  <c r="M490" i="16"/>
  <c r="J489" i="16"/>
  <c r="I489" i="16"/>
  <c r="K489" i="16" s="1"/>
  <c r="J488" i="16"/>
  <c r="J473" i="16" s="1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J483" i="16"/>
  <c r="I483" i="16"/>
  <c r="K483" i="16" s="1"/>
  <c r="J482" i="16"/>
  <c r="I482" i="16"/>
  <c r="K482" i="16" s="1"/>
  <c r="M477" i="16"/>
  <c r="L477" i="16"/>
  <c r="N477" i="16" s="1"/>
  <c r="L476" i="16"/>
  <c r="M475" i="16"/>
  <c r="N474" i="16"/>
  <c r="M473" i="16"/>
  <c r="K472" i="16"/>
  <c r="K471" i="16"/>
  <c r="K470" i="16"/>
  <c r="K469" i="16"/>
  <c r="K468" i="16"/>
  <c r="J466" i="16"/>
  <c r="I466" i="16"/>
  <c r="I457" i="16" s="1"/>
  <c r="K457" i="16" s="1"/>
  <c r="M461" i="16"/>
  <c r="M459" i="16" s="1"/>
  <c r="M457" i="16" s="1"/>
  <c r="L461" i="16"/>
  <c r="N461" i="16" s="1"/>
  <c r="L460" i="16"/>
  <c r="N458" i="16"/>
  <c r="J457" i="16"/>
  <c r="I456" i="16"/>
  <c r="K456" i="16" s="1"/>
  <c r="I455" i="16"/>
  <c r="K455" i="16" s="1"/>
  <c r="I454" i="16"/>
  <c r="K454" i="16" s="1"/>
  <c r="I453" i="16"/>
  <c r="M448" i="16"/>
  <c r="M446" i="16" s="1"/>
  <c r="M444" i="16" s="1"/>
  <c r="L448" i="16"/>
  <c r="N448" i="16" s="1"/>
  <c r="L447" i="16"/>
  <c r="N447" i="16" s="1"/>
  <c r="N445" i="16"/>
  <c r="J444" i="16"/>
  <c r="I441" i="16"/>
  <c r="K441" i="16" s="1"/>
  <c r="I440" i="16"/>
  <c r="I426" i="16" s="1"/>
  <c r="K426" i="16" s="1"/>
  <c r="M430" i="16"/>
  <c r="L430" i="16"/>
  <c r="L429" i="16"/>
  <c r="N429" i="16" s="1"/>
  <c r="M428" i="16"/>
  <c r="N427" i="16"/>
  <c r="M426" i="16"/>
  <c r="J426" i="16"/>
  <c r="K425" i="16"/>
  <c r="K424" i="16"/>
  <c r="K423" i="16"/>
  <c r="K422" i="16"/>
  <c r="K421" i="16"/>
  <c r="K420" i="16"/>
  <c r="K417" i="16"/>
  <c r="J417" i="16"/>
  <c r="I419" i="16" s="1"/>
  <c r="K419" i="16" s="1"/>
  <c r="K416" i="16"/>
  <c r="J416" i="16"/>
  <c r="I418" i="16" s="1"/>
  <c r="K418" i="16" s="1"/>
  <c r="K415" i="16"/>
  <c r="J415" i="16"/>
  <c r="K414" i="16"/>
  <c r="J414" i="16"/>
  <c r="K413" i="16"/>
  <c r="J413" i="16"/>
  <c r="K412" i="16"/>
  <c r="J412" i="16"/>
  <c r="I411" i="16"/>
  <c r="K411" i="16" s="1"/>
  <c r="I410" i="16"/>
  <c r="K410" i="16" s="1"/>
  <c r="I409" i="16"/>
  <c r="K409" i="16" s="1"/>
  <c r="K408" i="16"/>
  <c r="K407" i="16"/>
  <c r="K406" i="16"/>
  <c r="K405" i="16"/>
  <c r="K404" i="16"/>
  <c r="K403" i="16"/>
  <c r="K402" i="16"/>
  <c r="J402" i="16"/>
  <c r="J392" i="16" s="1"/>
  <c r="K401" i="16"/>
  <c r="J401" i="16"/>
  <c r="K400" i="16"/>
  <c r="K399" i="16"/>
  <c r="K398" i="16"/>
  <c r="K397" i="16"/>
  <c r="K396" i="16"/>
  <c r="K395" i="16"/>
  <c r="K394" i="16"/>
  <c r="J394" i="16"/>
  <c r="K393" i="16"/>
  <c r="J393" i="16"/>
  <c r="J391" i="16" s="1"/>
  <c r="I392" i="16"/>
  <c r="K392" i="16" s="1"/>
  <c r="I391" i="16"/>
  <c r="I390" i="16"/>
  <c r="K389" i="16"/>
  <c r="K388" i="16"/>
  <c r="K387" i="16"/>
  <c r="K386" i="16"/>
  <c r="K385" i="16"/>
  <c r="K384" i="16"/>
  <c r="K383" i="16"/>
  <c r="J383" i="16"/>
  <c r="K382" i="16"/>
  <c r="J382" i="16"/>
  <c r="K381" i="16"/>
  <c r="K380" i="16"/>
  <c r="K379" i="16"/>
  <c r="K378" i="16"/>
  <c r="J377" i="16"/>
  <c r="J376" i="16"/>
  <c r="J359" i="16" s="1"/>
  <c r="J350" i="16" s="1"/>
  <c r="K375" i="16"/>
  <c r="K374" i="16"/>
  <c r="K373" i="16"/>
  <c r="K372" i="16"/>
  <c r="K371" i="16"/>
  <c r="K370" i="16"/>
  <c r="J369" i="16"/>
  <c r="J368" i="16"/>
  <c r="K367" i="16"/>
  <c r="K366" i="16"/>
  <c r="K365" i="16"/>
  <c r="K364" i="16"/>
  <c r="K363" i="16"/>
  <c r="K362" i="16"/>
  <c r="J361" i="16"/>
  <c r="I361" i="16"/>
  <c r="J360" i="16"/>
  <c r="I360" i="16"/>
  <c r="K360" i="16" s="1"/>
  <c r="I359" i="16"/>
  <c r="M354" i="16"/>
  <c r="L354" i="16"/>
  <c r="N354" i="16" s="1"/>
  <c r="L353" i="16"/>
  <c r="M352" i="16"/>
  <c r="N351" i="16"/>
  <c r="M350" i="16"/>
  <c r="I347" i="16"/>
  <c r="K347" i="16" s="1"/>
  <c r="I346" i="16"/>
  <c r="K346" i="16" s="1"/>
  <c r="I345" i="16"/>
  <c r="K345" i="16" s="1"/>
  <c r="J344" i="16"/>
  <c r="J330" i="16" s="1"/>
  <c r="M334" i="16"/>
  <c r="L334" i="16"/>
  <c r="N334" i="16" s="1"/>
  <c r="L333" i="16"/>
  <c r="M332" i="16"/>
  <c r="N331" i="16"/>
  <c r="M330" i="16"/>
  <c r="I327" i="16"/>
  <c r="K327" i="16" s="1"/>
  <c r="I326" i="16"/>
  <c r="K326" i="16" s="1"/>
  <c r="J325" i="16"/>
  <c r="I324" i="16"/>
  <c r="K324" i="16" s="1"/>
  <c r="I323" i="16"/>
  <c r="K323" i="16" s="1"/>
  <c r="I322" i="16"/>
  <c r="K322" i="16" s="1"/>
  <c r="J321" i="16"/>
  <c r="I321" i="16"/>
  <c r="K321" i="16" s="1"/>
  <c r="I320" i="16"/>
  <c r="K320" i="16" s="1"/>
  <c r="I319" i="16"/>
  <c r="K319" i="16" s="1"/>
  <c r="I318" i="16"/>
  <c r="K318" i="16" s="1"/>
  <c r="I317" i="16"/>
  <c r="K317" i="16" s="1"/>
  <c r="J316" i="16"/>
  <c r="I316" i="16"/>
  <c r="K316" i="16" s="1"/>
  <c r="I315" i="16"/>
  <c r="K315" i="16" s="1"/>
  <c r="I314" i="16"/>
  <c r="K314" i="16" s="1"/>
  <c r="I313" i="16"/>
  <c r="J312" i="16"/>
  <c r="I312" i="16"/>
  <c r="J311" i="16"/>
  <c r="M301" i="16"/>
  <c r="L301" i="16"/>
  <c r="L300" i="16"/>
  <c r="N300" i="16" s="1"/>
  <c r="N298" i="16"/>
  <c r="J297" i="16"/>
  <c r="J296" i="16"/>
  <c r="I293" i="16"/>
  <c r="K293" i="16" s="1"/>
  <c r="I292" i="16"/>
  <c r="K292" i="16" s="1"/>
  <c r="I291" i="16"/>
  <c r="K291" i="16" s="1"/>
  <c r="M280" i="16"/>
  <c r="L280" i="16"/>
  <c r="L279" i="16"/>
  <c r="N279" i="16" s="1"/>
  <c r="N277" i="16"/>
  <c r="J276" i="16"/>
  <c r="I276" i="16"/>
  <c r="K276" i="16" s="1"/>
  <c r="J275" i="16"/>
  <c r="I272" i="16"/>
  <c r="K272" i="16" s="1"/>
  <c r="I271" i="16"/>
  <c r="J270" i="16"/>
  <c r="I268" i="16"/>
  <c r="K268" i="16" s="1"/>
  <c r="I266" i="16"/>
  <c r="I264" i="16"/>
  <c r="K264" i="16" s="1"/>
  <c r="J263" i="16"/>
  <c r="J259" i="16" s="1"/>
  <c r="I263" i="16"/>
  <c r="J262" i="16"/>
  <c r="I260" i="16"/>
  <c r="K260" i="16" s="1"/>
  <c r="M249" i="16"/>
  <c r="M247" i="16" s="1"/>
  <c r="M244" i="16" s="1"/>
  <c r="L249" i="16"/>
  <c r="N249" i="16" s="1"/>
  <c r="L248" i="16"/>
  <c r="N248" i="16" s="1"/>
  <c r="N246" i="16"/>
  <c r="J244" i="16"/>
  <c r="K241" i="16"/>
  <c r="J241" i="16"/>
  <c r="J240" i="16"/>
  <c r="J228" i="16" s="1"/>
  <c r="I240" i="16"/>
  <c r="K239" i="16"/>
  <c r="J239" i="16"/>
  <c r="J238" i="16"/>
  <c r="I238" i="16"/>
  <c r="K237" i="16"/>
  <c r="J237" i="16"/>
  <c r="J236" i="16"/>
  <c r="I236" i="16"/>
  <c r="I228" i="16" s="1"/>
  <c r="J235" i="16"/>
  <c r="I235" i="16"/>
  <c r="K234" i="16"/>
  <c r="J234" i="16"/>
  <c r="L232" i="16"/>
  <c r="N232" i="16" s="1"/>
  <c r="L231" i="16"/>
  <c r="N231" i="16" s="1"/>
  <c r="M230" i="16"/>
  <c r="N229" i="16"/>
  <c r="M228" i="16"/>
  <c r="I224" i="16"/>
  <c r="L218" i="16"/>
  <c r="N218" i="16" s="1"/>
  <c r="N217" i="16"/>
  <c r="M216" i="16"/>
  <c r="N215" i="16"/>
  <c r="M214" i="16"/>
  <c r="J214" i="16"/>
  <c r="I211" i="16"/>
  <c r="K211" i="16" s="1"/>
  <c r="I209" i="16"/>
  <c r="L203" i="16"/>
  <c r="N203" i="16" s="1"/>
  <c r="N202" i="16"/>
  <c r="M201" i="16"/>
  <c r="N200" i="16"/>
  <c r="M199" i="16"/>
  <c r="J199" i="16"/>
  <c r="I195" i="16"/>
  <c r="K195" i="16" s="1"/>
  <c r="L189" i="16"/>
  <c r="N189" i="16" s="1"/>
  <c r="L188" i="16"/>
  <c r="N188" i="16" s="1"/>
  <c r="M187" i="16"/>
  <c r="N186" i="16"/>
  <c r="M185" i="16"/>
  <c r="J185" i="16"/>
  <c r="I182" i="16"/>
  <c r="K182" i="16" s="1"/>
  <c r="I181" i="16"/>
  <c r="K181" i="16" s="1"/>
  <c r="I180" i="16"/>
  <c r="K180" i="16" s="1"/>
  <c r="I179" i="16"/>
  <c r="K179" i="16" s="1"/>
  <c r="L173" i="16"/>
  <c r="N173" i="16" s="1"/>
  <c r="L172" i="16"/>
  <c r="M171" i="16"/>
  <c r="N170" i="16"/>
  <c r="J169" i="16"/>
  <c r="K164" i="16"/>
  <c r="K158" i="16"/>
  <c r="J158" i="16"/>
  <c r="I158" i="16"/>
  <c r="I155" i="16"/>
  <c r="J149" i="16"/>
  <c r="L148" i="16"/>
  <c r="N147" i="16"/>
  <c r="M146" i="16"/>
  <c r="N145" i="16"/>
  <c r="J144" i="16"/>
  <c r="L141" i="16"/>
  <c r="N141" i="16" s="1"/>
  <c r="I141" i="16"/>
  <c r="K141" i="16" s="1"/>
  <c r="L140" i="16"/>
  <c r="N140" i="16" s="1"/>
  <c r="I140" i="16"/>
  <c r="K140" i="16" s="1"/>
  <c r="L138" i="16"/>
  <c r="N138" i="16" s="1"/>
  <c r="I138" i="16"/>
  <c r="L132" i="16"/>
  <c r="M131" i="16"/>
  <c r="N130" i="16"/>
  <c r="M129" i="16"/>
  <c r="J129" i="16"/>
  <c r="L126" i="16"/>
  <c r="N126" i="16" s="1"/>
  <c r="I126" i="16"/>
  <c r="K126" i="16" s="1"/>
  <c r="L125" i="16"/>
  <c r="N125" i="16" s="1"/>
  <c r="I125" i="16"/>
  <c r="I124" i="16"/>
  <c r="K124" i="16" s="1"/>
  <c r="L117" i="16"/>
  <c r="M116" i="16"/>
  <c r="N115" i="16"/>
  <c r="M114" i="16"/>
  <c r="J114" i="16"/>
  <c r="L111" i="16"/>
  <c r="N111" i="16" s="1"/>
  <c r="I111" i="16"/>
  <c r="I101" i="16" s="1"/>
  <c r="K101" i="16" s="1"/>
  <c r="L110" i="16"/>
  <c r="N110" i="16" s="1"/>
  <c r="I110" i="16"/>
  <c r="K110" i="16" s="1"/>
  <c r="L104" i="16"/>
  <c r="M103" i="16"/>
  <c r="N102" i="16"/>
  <c r="M101" i="16"/>
  <c r="J101" i="16"/>
  <c r="L98" i="16"/>
  <c r="N98" i="16" s="1"/>
  <c r="I98" i="16"/>
  <c r="L92" i="16"/>
  <c r="M91" i="16"/>
  <c r="N90" i="16"/>
  <c r="M89" i="16"/>
  <c r="J89" i="16"/>
  <c r="J84" i="16"/>
  <c r="I83" i="16"/>
  <c r="I74" i="16" s="1"/>
  <c r="L77" i="16"/>
  <c r="M76" i="16"/>
  <c r="N75" i="16"/>
  <c r="M74" i="16"/>
  <c r="J74" i="16"/>
  <c r="M73" i="16"/>
  <c r="L72" i="16"/>
  <c r="N72" i="16" s="1"/>
  <c r="M71" i="16"/>
  <c r="N70" i="16"/>
  <c r="M68" i="16"/>
  <c r="J68" i="16"/>
  <c r="I62" i="16"/>
  <c r="L56" i="16"/>
  <c r="N56" i="16" s="1"/>
  <c r="L55" i="16"/>
  <c r="M54" i="16"/>
  <c r="N53" i="16"/>
  <c r="M52" i="16"/>
  <c r="J52" i="16"/>
  <c r="I48" i="16"/>
  <c r="I47" i="16"/>
  <c r="K47" i="16" s="1"/>
  <c r="I46" i="16"/>
  <c r="K46" i="16" s="1"/>
  <c r="I45" i="16"/>
  <c r="K45" i="16" s="1"/>
  <c r="I44" i="16"/>
  <c r="I43" i="16"/>
  <c r="K43" i="16" s="1"/>
  <c r="L37" i="16"/>
  <c r="N37" i="16" s="1"/>
  <c r="L36" i="16"/>
  <c r="N36" i="16" s="1"/>
  <c r="M35" i="16"/>
  <c r="L35" i="16"/>
  <c r="L32" i="16" s="1"/>
  <c r="N34" i="16"/>
  <c r="J33" i="16"/>
  <c r="J32" i="16"/>
  <c r="I28" i="16"/>
  <c r="K28" i="16" s="1"/>
  <c r="I27" i="16"/>
  <c r="I26" i="16"/>
  <c r="K26" i="16" s="1"/>
  <c r="I25" i="16"/>
  <c r="K25" i="16" s="1"/>
  <c r="I24" i="16"/>
  <c r="K24" i="16" s="1"/>
  <c r="I23" i="16"/>
  <c r="K23" i="16" s="1"/>
  <c r="I22" i="16"/>
  <c r="J21" i="16"/>
  <c r="J10" i="16" s="1"/>
  <c r="J20" i="16"/>
  <c r="L14" i="16"/>
  <c r="N14" i="16" s="1"/>
  <c r="L13" i="16"/>
  <c r="N13" i="16" s="1"/>
  <c r="M12" i="16"/>
  <c r="L12" i="16"/>
  <c r="N12" i="16" s="1"/>
  <c r="N11" i="16"/>
  <c r="M9" i="16"/>
  <c r="J9" i="16"/>
  <c r="J528" i="15"/>
  <c r="I528" i="15"/>
  <c r="J527" i="15"/>
  <c r="I527" i="15"/>
  <c r="J526" i="15"/>
  <c r="I526" i="15"/>
  <c r="K526" i="15" s="1"/>
  <c r="J525" i="15"/>
  <c r="I525" i="15"/>
  <c r="K525" i="15" s="1"/>
  <c r="J524" i="15"/>
  <c r="I524" i="15"/>
  <c r="J523" i="15"/>
  <c r="I523" i="15"/>
  <c r="J522" i="15"/>
  <c r="I522" i="15"/>
  <c r="J521" i="15"/>
  <c r="I521" i="15"/>
  <c r="J517" i="15"/>
  <c r="I517" i="15"/>
  <c r="J514" i="15"/>
  <c r="J513" i="15" s="1"/>
  <c r="I514" i="15"/>
  <c r="I513" i="15"/>
  <c r="J510" i="15"/>
  <c r="I510" i="15"/>
  <c r="J504" i="15"/>
  <c r="I504" i="15"/>
  <c r="I490" i="15" s="1"/>
  <c r="M494" i="15"/>
  <c r="L494" i="15"/>
  <c r="L493" i="15"/>
  <c r="N493" i="15" s="1"/>
  <c r="M492" i="15"/>
  <c r="N491" i="15"/>
  <c r="M490" i="15"/>
  <c r="J489" i="15"/>
  <c r="I489" i="15"/>
  <c r="K489" i="15" s="1"/>
  <c r="J488" i="15"/>
  <c r="J473" i="15" s="1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J483" i="15"/>
  <c r="I483" i="15"/>
  <c r="K483" i="15" s="1"/>
  <c r="J482" i="15"/>
  <c r="I482" i="15"/>
  <c r="K482" i="15" s="1"/>
  <c r="M477" i="15"/>
  <c r="L477" i="15"/>
  <c r="N477" i="15" s="1"/>
  <c r="L476" i="15"/>
  <c r="M475" i="15"/>
  <c r="N474" i="15"/>
  <c r="M473" i="15"/>
  <c r="K472" i="15"/>
  <c r="K471" i="15"/>
  <c r="K470" i="15"/>
  <c r="K469" i="15"/>
  <c r="K468" i="15"/>
  <c r="J466" i="15"/>
  <c r="I466" i="15"/>
  <c r="I457" i="15" s="1"/>
  <c r="K457" i="15" s="1"/>
  <c r="M461" i="15"/>
  <c r="L461" i="15"/>
  <c r="N461" i="15" s="1"/>
  <c r="L460" i="15"/>
  <c r="M459" i="15"/>
  <c r="N458" i="15"/>
  <c r="M457" i="15"/>
  <c r="J457" i="15"/>
  <c r="I456" i="15"/>
  <c r="K456" i="15" s="1"/>
  <c r="I455" i="15"/>
  <c r="I454" i="15"/>
  <c r="K454" i="15" s="1"/>
  <c r="I453" i="15"/>
  <c r="K453" i="15" s="1"/>
  <c r="M448" i="15"/>
  <c r="M446" i="15" s="1"/>
  <c r="M444" i="15" s="1"/>
  <c r="L448" i="15"/>
  <c r="N448" i="15" s="1"/>
  <c r="L447" i="15"/>
  <c r="N447" i="15" s="1"/>
  <c r="N445" i="15"/>
  <c r="J444" i="15"/>
  <c r="I441" i="15"/>
  <c r="K441" i="15" s="1"/>
  <c r="I440" i="15"/>
  <c r="K440" i="15" s="1"/>
  <c r="M430" i="15"/>
  <c r="L430" i="15"/>
  <c r="L429" i="15"/>
  <c r="N429" i="15" s="1"/>
  <c r="M428" i="15"/>
  <c r="M426" i="15" s="1"/>
  <c r="N427" i="15"/>
  <c r="J426" i="15"/>
  <c r="J417" i="15"/>
  <c r="I419" i="15" s="1"/>
  <c r="J416" i="15"/>
  <c r="I418" i="15" s="1"/>
  <c r="J415" i="15"/>
  <c r="J414" i="15"/>
  <c r="J413" i="15"/>
  <c r="J412" i="15"/>
  <c r="I411" i="15"/>
  <c r="I410" i="15"/>
  <c r="I409" i="15"/>
  <c r="K408" i="15"/>
  <c r="K407" i="15"/>
  <c r="K406" i="15"/>
  <c r="K405" i="15"/>
  <c r="K404" i="15"/>
  <c r="K403" i="15"/>
  <c r="K402" i="15"/>
  <c r="J402" i="15"/>
  <c r="J392" i="15" s="1"/>
  <c r="K401" i="15"/>
  <c r="J401" i="15"/>
  <c r="K400" i="15"/>
  <c r="K399" i="15"/>
  <c r="K398" i="15"/>
  <c r="K397" i="15"/>
  <c r="K396" i="15"/>
  <c r="K395" i="15"/>
  <c r="K394" i="15"/>
  <c r="J394" i="15"/>
  <c r="K393" i="15"/>
  <c r="J393" i="15"/>
  <c r="I392" i="15"/>
  <c r="K392" i="15" s="1"/>
  <c r="J391" i="15"/>
  <c r="I391" i="15"/>
  <c r="I390" i="15"/>
  <c r="K389" i="15"/>
  <c r="K388" i="15"/>
  <c r="K387" i="15"/>
  <c r="K386" i="15"/>
  <c r="K385" i="15"/>
  <c r="K384" i="15"/>
  <c r="K383" i="15"/>
  <c r="J383" i="15"/>
  <c r="K382" i="15"/>
  <c r="J382" i="15"/>
  <c r="K381" i="15"/>
  <c r="K380" i="15"/>
  <c r="K379" i="15"/>
  <c r="K378" i="15"/>
  <c r="J377" i="15"/>
  <c r="J376" i="15"/>
  <c r="J359" i="15" s="1"/>
  <c r="J350" i="15" s="1"/>
  <c r="K375" i="15"/>
  <c r="K374" i="15"/>
  <c r="K373" i="15"/>
  <c r="K372" i="15"/>
  <c r="K371" i="15"/>
  <c r="K370" i="15"/>
  <c r="J369" i="15"/>
  <c r="J368" i="15"/>
  <c r="K367" i="15"/>
  <c r="K366" i="15"/>
  <c r="K365" i="15"/>
  <c r="K364" i="15"/>
  <c r="K363" i="15"/>
  <c r="K362" i="15"/>
  <c r="J361" i="15"/>
  <c r="I361" i="15"/>
  <c r="I377" i="15" s="1"/>
  <c r="K377" i="15" s="1"/>
  <c r="J360" i="15"/>
  <c r="I360" i="15"/>
  <c r="I359" i="15"/>
  <c r="I376" i="15" s="1"/>
  <c r="M354" i="15"/>
  <c r="L354" i="15"/>
  <c r="N354" i="15" s="1"/>
  <c r="L353" i="15"/>
  <c r="M352" i="15"/>
  <c r="N351" i="15"/>
  <c r="M350" i="15"/>
  <c r="I347" i="15"/>
  <c r="K347" i="15" s="1"/>
  <c r="I346" i="15"/>
  <c r="K346" i="15" s="1"/>
  <c r="I345" i="15"/>
  <c r="J344" i="15"/>
  <c r="M334" i="15"/>
  <c r="L334" i="15"/>
  <c r="N334" i="15" s="1"/>
  <c r="L333" i="15"/>
  <c r="M332" i="15"/>
  <c r="N331" i="15"/>
  <c r="M330" i="15"/>
  <c r="J330" i="15"/>
  <c r="I327" i="15"/>
  <c r="K327" i="15" s="1"/>
  <c r="I326" i="15"/>
  <c r="K326" i="15" s="1"/>
  <c r="J325" i="15"/>
  <c r="I324" i="15"/>
  <c r="K324" i="15" s="1"/>
  <c r="I323" i="15"/>
  <c r="K323" i="15" s="1"/>
  <c r="I322" i="15"/>
  <c r="K322" i="15" s="1"/>
  <c r="J321" i="15"/>
  <c r="I321" i="15"/>
  <c r="K321" i="15" s="1"/>
  <c r="I320" i="15"/>
  <c r="K320" i="15" s="1"/>
  <c r="I319" i="15"/>
  <c r="K319" i="15" s="1"/>
  <c r="I318" i="15"/>
  <c r="K318" i="15" s="1"/>
  <c r="I317" i="15"/>
  <c r="K317" i="15" s="1"/>
  <c r="J316" i="15"/>
  <c r="I316" i="15"/>
  <c r="I315" i="15"/>
  <c r="K315" i="15" s="1"/>
  <c r="I314" i="15"/>
  <c r="K314" i="15" s="1"/>
  <c r="I313" i="15"/>
  <c r="J312" i="15"/>
  <c r="I312" i="15"/>
  <c r="M301" i="15"/>
  <c r="L301" i="15"/>
  <c r="L300" i="15"/>
  <c r="N300" i="15" s="1"/>
  <c r="M299" i="15"/>
  <c r="M296" i="15" s="1"/>
  <c r="N298" i="15"/>
  <c r="J296" i="15"/>
  <c r="I293" i="15"/>
  <c r="K293" i="15" s="1"/>
  <c r="I292" i="15"/>
  <c r="K292" i="15" s="1"/>
  <c r="I291" i="15"/>
  <c r="M280" i="15"/>
  <c r="L280" i="15"/>
  <c r="L279" i="15"/>
  <c r="N279" i="15" s="1"/>
  <c r="M278" i="15"/>
  <c r="M275" i="15" s="1"/>
  <c r="N277" i="15"/>
  <c r="J276" i="15"/>
  <c r="J275" i="15"/>
  <c r="I272" i="15"/>
  <c r="K272" i="15" s="1"/>
  <c r="I271" i="15"/>
  <c r="J270" i="15"/>
  <c r="I268" i="15"/>
  <c r="K268" i="15" s="1"/>
  <c r="I266" i="15"/>
  <c r="K266" i="15" s="1"/>
  <c r="I264" i="15"/>
  <c r="J263" i="15"/>
  <c r="I263" i="15"/>
  <c r="J262" i="15"/>
  <c r="I260" i="15"/>
  <c r="K260" i="15" s="1"/>
  <c r="J259" i="15"/>
  <c r="M249" i="15"/>
  <c r="M247" i="15" s="1"/>
  <c r="M244" i="15" s="1"/>
  <c r="L249" i="15"/>
  <c r="L248" i="15"/>
  <c r="N248" i="15" s="1"/>
  <c r="N246" i="15"/>
  <c r="J245" i="15"/>
  <c r="J244" i="15"/>
  <c r="K241" i="15"/>
  <c r="J241" i="15"/>
  <c r="J240" i="15"/>
  <c r="J228" i="15" s="1"/>
  <c r="I240" i="15"/>
  <c r="K239" i="15"/>
  <c r="J239" i="15"/>
  <c r="J238" i="15"/>
  <c r="I238" i="15"/>
  <c r="K237" i="15"/>
  <c r="J237" i="15"/>
  <c r="J236" i="15"/>
  <c r="I236" i="15"/>
  <c r="I228" i="15" s="1"/>
  <c r="J235" i="15"/>
  <c r="I235" i="15"/>
  <c r="K234" i="15"/>
  <c r="J234" i="15"/>
  <c r="L232" i="15"/>
  <c r="N232" i="15" s="1"/>
  <c r="L231" i="15"/>
  <c r="N231" i="15" s="1"/>
  <c r="M230" i="15"/>
  <c r="N229" i="15"/>
  <c r="M228" i="15"/>
  <c r="I224" i="15"/>
  <c r="L218" i="15"/>
  <c r="N217" i="15"/>
  <c r="M216" i="15"/>
  <c r="M214" i="15" s="1"/>
  <c r="N215" i="15"/>
  <c r="J214" i="15"/>
  <c r="I211" i="15"/>
  <c r="K211" i="15" s="1"/>
  <c r="I209" i="15"/>
  <c r="K209" i="15" s="1"/>
  <c r="L203" i="15"/>
  <c r="L201" i="15" s="1"/>
  <c r="N202" i="15"/>
  <c r="M201" i="15"/>
  <c r="N200" i="15"/>
  <c r="M199" i="15"/>
  <c r="J199" i="15"/>
  <c r="I195" i="15"/>
  <c r="L189" i="15"/>
  <c r="N189" i="15" s="1"/>
  <c r="L188" i="15"/>
  <c r="M187" i="15"/>
  <c r="N186" i="15"/>
  <c r="M185" i="15"/>
  <c r="J185" i="15"/>
  <c r="I182" i="15"/>
  <c r="K182" i="15" s="1"/>
  <c r="I181" i="15"/>
  <c r="K181" i="15" s="1"/>
  <c r="I180" i="15"/>
  <c r="K180" i="15" s="1"/>
  <c r="I179" i="15"/>
  <c r="K179" i="15" s="1"/>
  <c r="L173" i="15"/>
  <c r="N173" i="15" s="1"/>
  <c r="L172" i="15"/>
  <c r="N172" i="15" s="1"/>
  <c r="M171" i="15"/>
  <c r="N170" i="15"/>
  <c r="M169" i="15"/>
  <c r="J169" i="15"/>
  <c r="K164" i="15"/>
  <c r="J158" i="15"/>
  <c r="I158" i="15"/>
  <c r="K158" i="15" s="1"/>
  <c r="I155" i="15"/>
  <c r="K155" i="15" s="1"/>
  <c r="J149" i="15"/>
  <c r="L148" i="15"/>
  <c r="N148" i="15" s="1"/>
  <c r="N147" i="15"/>
  <c r="M146" i="15"/>
  <c r="N145" i="15"/>
  <c r="M144" i="15"/>
  <c r="L141" i="15"/>
  <c r="N141" i="15" s="1"/>
  <c r="I141" i="15"/>
  <c r="K141" i="15" s="1"/>
  <c r="L140" i="15"/>
  <c r="N140" i="15" s="1"/>
  <c r="I140" i="15"/>
  <c r="K140" i="15" s="1"/>
  <c r="L138" i="15"/>
  <c r="N138" i="15" s="1"/>
  <c r="I138" i="15"/>
  <c r="L132" i="15"/>
  <c r="M131" i="15"/>
  <c r="N130" i="15"/>
  <c r="M129" i="15"/>
  <c r="J129" i="15"/>
  <c r="L126" i="15"/>
  <c r="N126" i="15" s="1"/>
  <c r="I126" i="15"/>
  <c r="K126" i="15" s="1"/>
  <c r="L125" i="15"/>
  <c r="N125" i="15" s="1"/>
  <c r="I125" i="15"/>
  <c r="I124" i="15"/>
  <c r="K124" i="15" s="1"/>
  <c r="L117" i="15"/>
  <c r="N117" i="15" s="1"/>
  <c r="M116" i="15"/>
  <c r="N115" i="15"/>
  <c r="M114" i="15"/>
  <c r="J114" i="15"/>
  <c r="L111" i="15"/>
  <c r="N111" i="15" s="1"/>
  <c r="I111" i="15"/>
  <c r="L110" i="15"/>
  <c r="N110" i="15" s="1"/>
  <c r="I110" i="15"/>
  <c r="K110" i="15" s="1"/>
  <c r="L104" i="15"/>
  <c r="N104" i="15" s="1"/>
  <c r="M103" i="15"/>
  <c r="M101" i="15" s="1"/>
  <c r="N102" i="15"/>
  <c r="J101" i="15"/>
  <c r="L98" i="15"/>
  <c r="N98" i="15" s="1"/>
  <c r="I98" i="15"/>
  <c r="K98" i="15" s="1"/>
  <c r="L92" i="15"/>
  <c r="N92" i="15" s="1"/>
  <c r="M91" i="15"/>
  <c r="M89" i="15" s="1"/>
  <c r="N90" i="15"/>
  <c r="J89" i="15"/>
  <c r="J84" i="15"/>
  <c r="I83" i="15"/>
  <c r="L77" i="15"/>
  <c r="L76" i="15" s="1"/>
  <c r="L74" i="15" s="1"/>
  <c r="M76" i="15"/>
  <c r="N75" i="15"/>
  <c r="M74" i="15"/>
  <c r="J74" i="15"/>
  <c r="M73" i="15"/>
  <c r="L72" i="15"/>
  <c r="M71" i="15"/>
  <c r="N70" i="15"/>
  <c r="M68" i="15"/>
  <c r="J68" i="15"/>
  <c r="I62" i="15"/>
  <c r="L56" i="15"/>
  <c r="N56" i="15" s="1"/>
  <c r="L55" i="15"/>
  <c r="N55" i="15" s="1"/>
  <c r="M54" i="15"/>
  <c r="M52" i="15" s="1"/>
  <c r="N53" i="15"/>
  <c r="J52" i="15"/>
  <c r="I48" i="15"/>
  <c r="I47" i="15"/>
  <c r="K47" i="15" s="1"/>
  <c r="I46" i="15"/>
  <c r="K46" i="15" s="1"/>
  <c r="I45" i="15"/>
  <c r="K45" i="15" s="1"/>
  <c r="I44" i="15"/>
  <c r="K44" i="15" s="1"/>
  <c r="I43" i="15"/>
  <c r="K43" i="15" s="1"/>
  <c r="L37" i="15"/>
  <c r="N37" i="15" s="1"/>
  <c r="L36" i="15"/>
  <c r="N36" i="15" s="1"/>
  <c r="M35" i="15"/>
  <c r="M32" i="15" s="1"/>
  <c r="L35" i="15"/>
  <c r="N34" i="15"/>
  <c r="J33" i="15"/>
  <c r="J32" i="15"/>
  <c r="I28" i="15"/>
  <c r="K28" i="15" s="1"/>
  <c r="I27" i="15"/>
  <c r="K27" i="15" s="1"/>
  <c r="I26" i="15"/>
  <c r="K26" i="15" s="1"/>
  <c r="I25" i="15"/>
  <c r="I24" i="15"/>
  <c r="K24" i="15" s="1"/>
  <c r="I23" i="15"/>
  <c r="K23" i="15" s="1"/>
  <c r="I22" i="15"/>
  <c r="J21" i="15"/>
  <c r="J20" i="15"/>
  <c r="J9" i="15" s="1"/>
  <c r="L14" i="15"/>
  <c r="N14" i="15" s="1"/>
  <c r="L13" i="15"/>
  <c r="N13" i="15" s="1"/>
  <c r="M12" i="15"/>
  <c r="M9" i="15" s="1"/>
  <c r="L12" i="15"/>
  <c r="N11" i="15"/>
  <c r="J10" i="15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17" i="14"/>
  <c r="I517" i="14"/>
  <c r="J514" i="14"/>
  <c r="J513" i="14" s="1"/>
  <c r="I514" i="14"/>
  <c r="I513" i="14"/>
  <c r="K519" i="14" s="1"/>
  <c r="J510" i="14"/>
  <c r="I510" i="14"/>
  <c r="J504" i="14"/>
  <c r="J490" i="14" s="1"/>
  <c r="I504" i="14"/>
  <c r="K511" i="14" s="1"/>
  <c r="M494" i="14"/>
  <c r="L494" i="14"/>
  <c r="N494" i="14" s="1"/>
  <c r="L493" i="14"/>
  <c r="N493" i="14" s="1"/>
  <c r="M492" i="14"/>
  <c r="N491" i="14"/>
  <c r="M490" i="14"/>
  <c r="J489" i="14"/>
  <c r="I489" i="14"/>
  <c r="K489" i="14" s="1"/>
  <c r="J488" i="14"/>
  <c r="J473" i="14" s="1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J483" i="14"/>
  <c r="I483" i="14"/>
  <c r="K483" i="14" s="1"/>
  <c r="J482" i="14"/>
  <c r="I482" i="14"/>
  <c r="K482" i="14" s="1"/>
  <c r="M477" i="14"/>
  <c r="M475" i="14" s="1"/>
  <c r="M473" i="14" s="1"/>
  <c r="L477" i="14"/>
  <c r="N477" i="14" s="1"/>
  <c r="L476" i="14"/>
  <c r="N474" i="14"/>
  <c r="K472" i="14"/>
  <c r="K471" i="14"/>
  <c r="K470" i="14"/>
  <c r="K469" i="14"/>
  <c r="K468" i="14"/>
  <c r="J466" i="14"/>
  <c r="J457" i="14" s="1"/>
  <c r="I466" i="14"/>
  <c r="M461" i="14"/>
  <c r="L461" i="14"/>
  <c r="N461" i="14" s="1"/>
  <c r="L460" i="14"/>
  <c r="N460" i="14" s="1"/>
  <c r="M459" i="14"/>
  <c r="M457" i="14" s="1"/>
  <c r="N458" i="14"/>
  <c r="I456" i="14"/>
  <c r="K456" i="14" s="1"/>
  <c r="I455" i="14"/>
  <c r="K455" i="14" s="1"/>
  <c r="I454" i="14"/>
  <c r="K454" i="14" s="1"/>
  <c r="I453" i="14"/>
  <c r="K453" i="14" s="1"/>
  <c r="M448" i="14"/>
  <c r="L448" i="14"/>
  <c r="N448" i="14" s="1"/>
  <c r="L447" i="14"/>
  <c r="M446" i="14"/>
  <c r="M444" i="14" s="1"/>
  <c r="N445" i="14"/>
  <c r="J444" i="14"/>
  <c r="I441" i="14"/>
  <c r="K441" i="14" s="1"/>
  <c r="I440" i="14"/>
  <c r="M430" i="14"/>
  <c r="L430" i="14"/>
  <c r="N430" i="14" s="1"/>
  <c r="L429" i="14"/>
  <c r="M428" i="14"/>
  <c r="N427" i="14"/>
  <c r="M426" i="14"/>
  <c r="J426" i="14"/>
  <c r="J417" i="14"/>
  <c r="I419" i="14" s="1"/>
  <c r="J416" i="14"/>
  <c r="I418" i="14" s="1"/>
  <c r="J415" i="14"/>
  <c r="J414" i="14"/>
  <c r="J413" i="14"/>
  <c r="J412" i="14"/>
  <c r="I411" i="14"/>
  <c r="I410" i="14"/>
  <c r="I409" i="14"/>
  <c r="K408" i="14"/>
  <c r="K407" i="14"/>
  <c r="K406" i="14"/>
  <c r="K405" i="14"/>
  <c r="K404" i="14"/>
  <c r="K403" i="14"/>
  <c r="K402" i="14"/>
  <c r="J402" i="14"/>
  <c r="K401" i="14"/>
  <c r="J401" i="14"/>
  <c r="J391" i="14" s="1"/>
  <c r="J390" i="14" s="1"/>
  <c r="K400" i="14"/>
  <c r="K399" i="14"/>
  <c r="K398" i="14"/>
  <c r="K397" i="14"/>
  <c r="K396" i="14"/>
  <c r="K395" i="14"/>
  <c r="K394" i="14"/>
  <c r="J394" i="14"/>
  <c r="K393" i="14"/>
  <c r="J393" i="14"/>
  <c r="J392" i="14"/>
  <c r="I392" i="14"/>
  <c r="I391" i="14"/>
  <c r="I390" i="14"/>
  <c r="K389" i="14"/>
  <c r="K388" i="14"/>
  <c r="K387" i="14"/>
  <c r="K386" i="14"/>
  <c r="K385" i="14"/>
  <c r="K384" i="14"/>
  <c r="K383" i="14"/>
  <c r="J383" i="14"/>
  <c r="K382" i="14"/>
  <c r="J382" i="14"/>
  <c r="J376" i="14" s="1"/>
  <c r="K381" i="14"/>
  <c r="K380" i="14"/>
  <c r="K379" i="14"/>
  <c r="K378" i="14"/>
  <c r="J377" i="14"/>
  <c r="K375" i="14"/>
  <c r="K374" i="14"/>
  <c r="K373" i="14"/>
  <c r="K372" i="14"/>
  <c r="K371" i="14"/>
  <c r="K370" i="14"/>
  <c r="J369" i="14"/>
  <c r="J368" i="14"/>
  <c r="K367" i="14"/>
  <c r="K366" i="14"/>
  <c r="K365" i="14"/>
  <c r="K364" i="14"/>
  <c r="K363" i="14"/>
  <c r="K362" i="14"/>
  <c r="J361" i="14"/>
  <c r="I361" i="14"/>
  <c r="K361" i="14" s="1"/>
  <c r="J360" i="14"/>
  <c r="I360" i="14"/>
  <c r="K360" i="14" s="1"/>
  <c r="J359" i="14"/>
  <c r="I359" i="14"/>
  <c r="I350" i="14" s="1"/>
  <c r="M354" i="14"/>
  <c r="L354" i="14"/>
  <c r="L353" i="14"/>
  <c r="N353" i="14" s="1"/>
  <c r="M352" i="14"/>
  <c r="M350" i="14" s="1"/>
  <c r="N351" i="14"/>
  <c r="J350" i="14"/>
  <c r="I347" i="14"/>
  <c r="K347" i="14" s="1"/>
  <c r="I346" i="14"/>
  <c r="K346" i="14" s="1"/>
  <c r="I345" i="14"/>
  <c r="K345" i="14" s="1"/>
  <c r="J344" i="14"/>
  <c r="M334" i="14"/>
  <c r="M332" i="14" s="1"/>
  <c r="M330" i="14" s="1"/>
  <c r="L334" i="14"/>
  <c r="L333" i="14"/>
  <c r="N333" i="14" s="1"/>
  <c r="N331" i="14"/>
  <c r="J330" i="14"/>
  <c r="I327" i="14"/>
  <c r="K327" i="14" s="1"/>
  <c r="I326" i="14"/>
  <c r="J325" i="14"/>
  <c r="I324" i="14"/>
  <c r="K324" i="14" s="1"/>
  <c r="I323" i="14"/>
  <c r="K323" i="14" s="1"/>
  <c r="I322" i="14"/>
  <c r="K322" i="14" s="1"/>
  <c r="J321" i="14"/>
  <c r="I321" i="14"/>
  <c r="I320" i="14"/>
  <c r="K320" i="14" s="1"/>
  <c r="I319" i="14"/>
  <c r="K319" i="14" s="1"/>
  <c r="I318" i="14"/>
  <c r="K318" i="14" s="1"/>
  <c r="I317" i="14"/>
  <c r="K317" i="14" s="1"/>
  <c r="J316" i="14"/>
  <c r="I316" i="14"/>
  <c r="K316" i="14" s="1"/>
  <c r="I315" i="14"/>
  <c r="K315" i="14" s="1"/>
  <c r="I314" i="14"/>
  <c r="K314" i="14" s="1"/>
  <c r="I313" i="14"/>
  <c r="K313" i="14" s="1"/>
  <c r="J312" i="14"/>
  <c r="I312" i="14"/>
  <c r="M301" i="14"/>
  <c r="L301" i="14"/>
  <c r="N301" i="14" s="1"/>
  <c r="L300" i="14"/>
  <c r="M299" i="14"/>
  <c r="M296" i="14" s="1"/>
  <c r="N298" i="14"/>
  <c r="J296" i="14"/>
  <c r="I293" i="14"/>
  <c r="K293" i="14" s="1"/>
  <c r="I292" i="14"/>
  <c r="I291" i="14"/>
  <c r="K291" i="14" s="1"/>
  <c r="M280" i="14"/>
  <c r="L280" i="14"/>
  <c r="N280" i="14" s="1"/>
  <c r="L279" i="14"/>
  <c r="M278" i="14"/>
  <c r="M275" i="14" s="1"/>
  <c r="N277" i="14"/>
  <c r="J276" i="14"/>
  <c r="J275" i="14"/>
  <c r="I272" i="14"/>
  <c r="K272" i="14" s="1"/>
  <c r="I271" i="14"/>
  <c r="K271" i="14" s="1"/>
  <c r="J270" i="14"/>
  <c r="I268" i="14"/>
  <c r="K268" i="14" s="1"/>
  <c r="I266" i="14"/>
  <c r="I264" i="14"/>
  <c r="K264" i="14" s="1"/>
  <c r="J263" i="14"/>
  <c r="J245" i="14" s="1"/>
  <c r="I263" i="14"/>
  <c r="I245" i="14" s="1"/>
  <c r="K245" i="14" s="1"/>
  <c r="J262" i="14"/>
  <c r="I260" i="14"/>
  <c r="K260" i="14" s="1"/>
  <c r="M249" i="14"/>
  <c r="L249" i="14"/>
  <c r="N249" i="14" s="1"/>
  <c r="L248" i="14"/>
  <c r="M247" i="14"/>
  <c r="M244" i="14" s="1"/>
  <c r="N246" i="14"/>
  <c r="J244" i="14"/>
  <c r="K241" i="14"/>
  <c r="J241" i="14"/>
  <c r="J240" i="14"/>
  <c r="I240" i="14"/>
  <c r="K239" i="14"/>
  <c r="J239" i="14"/>
  <c r="J238" i="14"/>
  <c r="I238" i="14"/>
  <c r="K237" i="14"/>
  <c r="J237" i="14"/>
  <c r="J236" i="14"/>
  <c r="I236" i="14"/>
  <c r="J235" i="14"/>
  <c r="I235" i="14"/>
  <c r="K234" i="14"/>
  <c r="J234" i="14"/>
  <c r="L232" i="14"/>
  <c r="N232" i="14" s="1"/>
  <c r="L231" i="14"/>
  <c r="M230" i="14"/>
  <c r="N229" i="14"/>
  <c r="M228" i="14"/>
  <c r="I224" i="14"/>
  <c r="L218" i="14"/>
  <c r="N218" i="14" s="1"/>
  <c r="N217" i="14"/>
  <c r="M216" i="14"/>
  <c r="N215" i="14"/>
  <c r="M214" i="14"/>
  <c r="J214" i="14"/>
  <c r="I211" i="14"/>
  <c r="K211" i="14" s="1"/>
  <c r="I209" i="14"/>
  <c r="L203" i="14"/>
  <c r="N202" i="14"/>
  <c r="M201" i="14"/>
  <c r="N200" i="14"/>
  <c r="M199" i="14"/>
  <c r="J199" i="14"/>
  <c r="I195" i="14"/>
  <c r="L189" i="14"/>
  <c r="N189" i="14" s="1"/>
  <c r="L188" i="14"/>
  <c r="M187" i="14"/>
  <c r="N186" i="14"/>
  <c r="M185" i="14"/>
  <c r="J185" i="14"/>
  <c r="I182" i="14"/>
  <c r="K182" i="14" s="1"/>
  <c r="I181" i="14"/>
  <c r="K181" i="14" s="1"/>
  <c r="I180" i="14"/>
  <c r="K180" i="14" s="1"/>
  <c r="I179" i="14"/>
  <c r="K179" i="14" s="1"/>
  <c r="L173" i="14"/>
  <c r="N173" i="14" s="1"/>
  <c r="L172" i="14"/>
  <c r="N172" i="14" s="1"/>
  <c r="M171" i="14"/>
  <c r="N170" i="14"/>
  <c r="M169" i="14"/>
  <c r="J169" i="14"/>
  <c r="K164" i="14"/>
  <c r="J158" i="14"/>
  <c r="I158" i="14"/>
  <c r="K158" i="14" s="1"/>
  <c r="I155" i="14"/>
  <c r="K155" i="14" s="1"/>
  <c r="J149" i="14"/>
  <c r="J144" i="14" s="1"/>
  <c r="L148" i="14"/>
  <c r="N147" i="14"/>
  <c r="M146" i="14"/>
  <c r="N145" i="14"/>
  <c r="M144" i="14"/>
  <c r="L141" i="14"/>
  <c r="N141" i="14" s="1"/>
  <c r="I141" i="14"/>
  <c r="K141" i="14" s="1"/>
  <c r="L140" i="14"/>
  <c r="N140" i="14" s="1"/>
  <c r="I140" i="14"/>
  <c r="K140" i="14" s="1"/>
  <c r="L138" i="14"/>
  <c r="N138" i="14" s="1"/>
  <c r="I138" i="14"/>
  <c r="K138" i="14" s="1"/>
  <c r="L132" i="14"/>
  <c r="L131" i="14" s="1"/>
  <c r="N131" i="14" s="1"/>
  <c r="M131" i="14"/>
  <c r="N130" i="14"/>
  <c r="M129" i="14"/>
  <c r="J129" i="14"/>
  <c r="L126" i="14"/>
  <c r="N126" i="14" s="1"/>
  <c r="I126" i="14"/>
  <c r="K126" i="14" s="1"/>
  <c r="L125" i="14"/>
  <c r="N125" i="14" s="1"/>
  <c r="I125" i="14"/>
  <c r="I124" i="14"/>
  <c r="K124" i="14" s="1"/>
  <c r="L117" i="14"/>
  <c r="N117" i="14" s="1"/>
  <c r="M116" i="14"/>
  <c r="N115" i="14"/>
  <c r="M114" i="14"/>
  <c r="J114" i="14"/>
  <c r="L111" i="14"/>
  <c r="N111" i="14" s="1"/>
  <c r="I111" i="14"/>
  <c r="K111" i="14" s="1"/>
  <c r="L110" i="14"/>
  <c r="N110" i="14" s="1"/>
  <c r="I110" i="14"/>
  <c r="K110" i="14" s="1"/>
  <c r="L104" i="14"/>
  <c r="N104" i="14" s="1"/>
  <c r="M103" i="14"/>
  <c r="M101" i="14" s="1"/>
  <c r="N102" i="14"/>
  <c r="J101" i="14"/>
  <c r="L98" i="14"/>
  <c r="N98" i="14" s="1"/>
  <c r="I98" i="14"/>
  <c r="K98" i="14" s="1"/>
  <c r="L92" i="14"/>
  <c r="N92" i="14" s="1"/>
  <c r="M91" i="14"/>
  <c r="M89" i="14" s="1"/>
  <c r="N90" i="14"/>
  <c r="J89" i="14"/>
  <c r="J84" i="14"/>
  <c r="I83" i="14"/>
  <c r="K83" i="14" s="1"/>
  <c r="L77" i="14"/>
  <c r="M76" i="14"/>
  <c r="N75" i="14"/>
  <c r="M74" i="14"/>
  <c r="J74" i="14"/>
  <c r="M73" i="14"/>
  <c r="L72" i="14"/>
  <c r="N72" i="14" s="1"/>
  <c r="M71" i="14"/>
  <c r="N70" i="14"/>
  <c r="M68" i="14"/>
  <c r="J68" i="14"/>
  <c r="I62" i="14"/>
  <c r="L56" i="14"/>
  <c r="N56" i="14" s="1"/>
  <c r="L55" i="14"/>
  <c r="N55" i="14" s="1"/>
  <c r="M54" i="14"/>
  <c r="M52" i="14" s="1"/>
  <c r="N53" i="14"/>
  <c r="J52" i="14"/>
  <c r="I48" i="14"/>
  <c r="I47" i="14"/>
  <c r="K47" i="14" s="1"/>
  <c r="I46" i="14"/>
  <c r="K46" i="14" s="1"/>
  <c r="I45" i="14"/>
  <c r="K45" i="14" s="1"/>
  <c r="I44" i="14"/>
  <c r="K44" i="14" s="1"/>
  <c r="I43" i="14"/>
  <c r="K43" i="14" s="1"/>
  <c r="L37" i="14"/>
  <c r="N37" i="14" s="1"/>
  <c r="L36" i="14"/>
  <c r="N36" i="14" s="1"/>
  <c r="M35" i="14"/>
  <c r="M32" i="14" s="1"/>
  <c r="M6" i="14" s="1"/>
  <c r="L35" i="14"/>
  <c r="N34" i="14"/>
  <c r="J33" i="14"/>
  <c r="J32" i="14"/>
  <c r="I28" i="14"/>
  <c r="K28" i="14" s="1"/>
  <c r="I27" i="14"/>
  <c r="K27" i="14" s="1"/>
  <c r="I26" i="14"/>
  <c r="K26" i="14" s="1"/>
  <c r="I25" i="14"/>
  <c r="K25" i="14" s="1"/>
  <c r="I24" i="14"/>
  <c r="K24" i="14" s="1"/>
  <c r="I23" i="14"/>
  <c r="K23" i="14" s="1"/>
  <c r="I22" i="14"/>
  <c r="J21" i="14"/>
  <c r="J20" i="14"/>
  <c r="J9" i="14" s="1"/>
  <c r="L14" i="14"/>
  <c r="N14" i="14" s="1"/>
  <c r="L13" i="14"/>
  <c r="N13" i="14" s="1"/>
  <c r="M12" i="14"/>
  <c r="M9" i="14" s="1"/>
  <c r="L12" i="14"/>
  <c r="N12" i="14" s="1"/>
  <c r="N11" i="14"/>
  <c r="J10" i="14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17" i="13"/>
  <c r="I517" i="13"/>
  <c r="J514" i="13"/>
  <c r="J513" i="13" s="1"/>
  <c r="I514" i="13"/>
  <c r="I513" i="13"/>
  <c r="J510" i="13"/>
  <c r="I510" i="13"/>
  <c r="J504" i="13"/>
  <c r="J490" i="13" s="1"/>
  <c r="I504" i="13"/>
  <c r="M494" i="13"/>
  <c r="L494" i="13"/>
  <c r="N494" i="13" s="1"/>
  <c r="L493" i="13"/>
  <c r="M492" i="13"/>
  <c r="N491" i="13"/>
  <c r="M490" i="13"/>
  <c r="J489" i="13"/>
  <c r="I489" i="13"/>
  <c r="K489" i="13" s="1"/>
  <c r="J488" i="13"/>
  <c r="J473" i="13" s="1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J483" i="13"/>
  <c r="I483" i="13"/>
  <c r="K483" i="13" s="1"/>
  <c r="J482" i="13"/>
  <c r="I482" i="13"/>
  <c r="K482" i="13" s="1"/>
  <c r="M477" i="13"/>
  <c r="M475" i="13" s="1"/>
  <c r="M473" i="13" s="1"/>
  <c r="L477" i="13"/>
  <c r="N477" i="13" s="1"/>
  <c r="L476" i="13"/>
  <c r="N474" i="13"/>
  <c r="K472" i="13"/>
  <c r="K471" i="13"/>
  <c r="K470" i="13"/>
  <c r="K469" i="13"/>
  <c r="K468" i="13"/>
  <c r="J466" i="13"/>
  <c r="J457" i="13" s="1"/>
  <c r="I466" i="13"/>
  <c r="M461" i="13"/>
  <c r="L461" i="13"/>
  <c r="N461" i="13" s="1"/>
  <c r="L460" i="13"/>
  <c r="N460" i="13" s="1"/>
  <c r="M459" i="13"/>
  <c r="M457" i="13" s="1"/>
  <c r="N458" i="13"/>
  <c r="I456" i="13"/>
  <c r="K456" i="13" s="1"/>
  <c r="I455" i="13"/>
  <c r="K455" i="13" s="1"/>
  <c r="I454" i="13"/>
  <c r="K454" i="13" s="1"/>
  <c r="I453" i="13"/>
  <c r="M448" i="13"/>
  <c r="L448" i="13"/>
  <c r="N448" i="13" s="1"/>
  <c r="L447" i="13"/>
  <c r="M446" i="13"/>
  <c r="M444" i="13" s="1"/>
  <c r="N445" i="13"/>
  <c r="J444" i="13"/>
  <c r="I441" i="13"/>
  <c r="K441" i="13" s="1"/>
  <c r="I440" i="13"/>
  <c r="M430" i="13"/>
  <c r="L430" i="13"/>
  <c r="N430" i="13" s="1"/>
  <c r="L429" i="13"/>
  <c r="N429" i="13" s="1"/>
  <c r="M428" i="13"/>
  <c r="N427" i="13"/>
  <c r="M426" i="13"/>
  <c r="J426" i="13"/>
  <c r="J417" i="13"/>
  <c r="I419" i="13" s="1"/>
  <c r="J416" i="13"/>
  <c r="I418" i="13" s="1"/>
  <c r="J415" i="13"/>
  <c r="J414" i="13"/>
  <c r="J413" i="13"/>
  <c r="J412" i="13"/>
  <c r="I411" i="13"/>
  <c r="I410" i="13"/>
  <c r="I409" i="13"/>
  <c r="K408" i="13"/>
  <c r="K407" i="13"/>
  <c r="K406" i="13"/>
  <c r="K405" i="13"/>
  <c r="K404" i="13"/>
  <c r="K403" i="13"/>
  <c r="K402" i="13"/>
  <c r="J402" i="13"/>
  <c r="K401" i="13"/>
  <c r="J401" i="13"/>
  <c r="K400" i="13"/>
  <c r="K399" i="13"/>
  <c r="K398" i="13"/>
  <c r="K397" i="13"/>
  <c r="K396" i="13"/>
  <c r="K395" i="13"/>
  <c r="K394" i="13"/>
  <c r="J394" i="13"/>
  <c r="K393" i="13"/>
  <c r="J393" i="13"/>
  <c r="J392" i="13"/>
  <c r="I392" i="13"/>
  <c r="K392" i="13" s="1"/>
  <c r="I391" i="13"/>
  <c r="K391" i="13" s="1"/>
  <c r="I390" i="13"/>
  <c r="K390" i="13" s="1"/>
  <c r="K389" i="13"/>
  <c r="K388" i="13"/>
  <c r="K387" i="13"/>
  <c r="K386" i="13"/>
  <c r="K385" i="13"/>
  <c r="K384" i="13"/>
  <c r="K383" i="13"/>
  <c r="J383" i="13"/>
  <c r="K382" i="13"/>
  <c r="J382" i="13"/>
  <c r="J376" i="13" s="1"/>
  <c r="K381" i="13"/>
  <c r="K380" i="13"/>
  <c r="K379" i="13"/>
  <c r="K378" i="13"/>
  <c r="J377" i="13"/>
  <c r="K375" i="13"/>
  <c r="K374" i="13"/>
  <c r="K373" i="13"/>
  <c r="K372" i="13"/>
  <c r="K371" i="13"/>
  <c r="K370" i="13"/>
  <c r="J369" i="13"/>
  <c r="J368" i="13"/>
  <c r="K367" i="13"/>
  <c r="K366" i="13"/>
  <c r="K365" i="13"/>
  <c r="K364" i="13"/>
  <c r="K363" i="13"/>
  <c r="K362" i="13"/>
  <c r="J361" i="13"/>
  <c r="I361" i="13"/>
  <c r="J360" i="13"/>
  <c r="I360" i="13"/>
  <c r="K360" i="13" s="1"/>
  <c r="J359" i="13"/>
  <c r="I359" i="13"/>
  <c r="M354" i="13"/>
  <c r="L354" i="13"/>
  <c r="L353" i="13"/>
  <c r="N353" i="13" s="1"/>
  <c r="M352" i="13"/>
  <c r="N351" i="13"/>
  <c r="M350" i="13"/>
  <c r="I347" i="13"/>
  <c r="K347" i="13" s="1"/>
  <c r="I346" i="13"/>
  <c r="K346" i="13" s="1"/>
  <c r="I345" i="13"/>
  <c r="K345" i="13" s="1"/>
  <c r="J344" i="13"/>
  <c r="J330" i="13" s="1"/>
  <c r="M334" i="13"/>
  <c r="L334" i="13"/>
  <c r="L333" i="13"/>
  <c r="N333" i="13" s="1"/>
  <c r="M332" i="13"/>
  <c r="N331" i="13"/>
  <c r="M330" i="13"/>
  <c r="I327" i="13"/>
  <c r="K327" i="13" s="1"/>
  <c r="I326" i="13"/>
  <c r="J325" i="13"/>
  <c r="I324" i="13"/>
  <c r="K324" i="13" s="1"/>
  <c r="I323" i="13"/>
  <c r="K323" i="13" s="1"/>
  <c r="I322" i="13"/>
  <c r="K322" i="13" s="1"/>
  <c r="J321" i="13"/>
  <c r="I321" i="13"/>
  <c r="K321" i="13" s="1"/>
  <c r="I320" i="13"/>
  <c r="K320" i="13" s="1"/>
  <c r="I319" i="13"/>
  <c r="K319" i="13" s="1"/>
  <c r="I318" i="13"/>
  <c r="K318" i="13" s="1"/>
  <c r="I317" i="13"/>
  <c r="J316" i="13"/>
  <c r="I316" i="13"/>
  <c r="K316" i="13" s="1"/>
  <c r="I315" i="13"/>
  <c r="K315" i="13" s="1"/>
  <c r="I314" i="13"/>
  <c r="K314" i="13" s="1"/>
  <c r="I313" i="13"/>
  <c r="K313" i="13" s="1"/>
  <c r="J312" i="13"/>
  <c r="J311" i="13" s="1"/>
  <c r="J297" i="13" s="1"/>
  <c r="I312" i="13"/>
  <c r="M301" i="13"/>
  <c r="L301" i="13"/>
  <c r="N301" i="13" s="1"/>
  <c r="L300" i="13"/>
  <c r="M299" i="13"/>
  <c r="N298" i="13"/>
  <c r="M296" i="13"/>
  <c r="J296" i="13"/>
  <c r="I293" i="13"/>
  <c r="K293" i="13" s="1"/>
  <c r="I292" i="13"/>
  <c r="I291" i="13"/>
  <c r="M280" i="13"/>
  <c r="M278" i="13" s="1"/>
  <c r="M275" i="13" s="1"/>
  <c r="L280" i="13"/>
  <c r="N280" i="13" s="1"/>
  <c r="L279" i="13"/>
  <c r="N279" i="13" s="1"/>
  <c r="N277" i="13"/>
  <c r="J276" i="13"/>
  <c r="J275" i="13"/>
  <c r="I272" i="13"/>
  <c r="K272" i="13" s="1"/>
  <c r="I271" i="13"/>
  <c r="J270" i="13"/>
  <c r="J244" i="13" s="1"/>
  <c r="I268" i="13"/>
  <c r="K268" i="13" s="1"/>
  <c r="I266" i="13"/>
  <c r="K266" i="13" s="1"/>
  <c r="I264" i="13"/>
  <c r="J263" i="13"/>
  <c r="I263" i="13"/>
  <c r="J262" i="13"/>
  <c r="I260" i="13"/>
  <c r="K260" i="13" s="1"/>
  <c r="M249" i="13"/>
  <c r="L249" i="13"/>
  <c r="N249" i="13" s="1"/>
  <c r="L248" i="13"/>
  <c r="M247" i="13"/>
  <c r="N246" i="13"/>
  <c r="M244" i="13"/>
  <c r="K241" i="13"/>
  <c r="J241" i="13"/>
  <c r="J240" i="13"/>
  <c r="J228" i="13" s="1"/>
  <c r="I240" i="13"/>
  <c r="K240" i="13" s="1"/>
  <c r="K239" i="13"/>
  <c r="J239" i="13"/>
  <c r="J238" i="13"/>
  <c r="I238" i="13"/>
  <c r="K238" i="13" s="1"/>
  <c r="K237" i="13"/>
  <c r="J237" i="13"/>
  <c r="J236" i="13"/>
  <c r="I236" i="13"/>
  <c r="J235" i="13"/>
  <c r="I235" i="13"/>
  <c r="K235" i="13" s="1"/>
  <c r="K234" i="13"/>
  <c r="J234" i="13"/>
  <c r="L232" i="13"/>
  <c r="N232" i="13" s="1"/>
  <c r="L231" i="13"/>
  <c r="M230" i="13"/>
  <c r="N229" i="13"/>
  <c r="M228" i="13"/>
  <c r="I224" i="13"/>
  <c r="I214" i="13" s="1"/>
  <c r="K214" i="13" s="1"/>
  <c r="L218" i="13"/>
  <c r="N218" i="13" s="1"/>
  <c r="N217" i="13"/>
  <c r="M216" i="13"/>
  <c r="N215" i="13"/>
  <c r="M214" i="13"/>
  <c r="J214" i="13"/>
  <c r="I211" i="13"/>
  <c r="K211" i="13" s="1"/>
  <c r="I209" i="13"/>
  <c r="K209" i="13" s="1"/>
  <c r="L203" i="13"/>
  <c r="N202" i="13"/>
  <c r="M201" i="13"/>
  <c r="N200" i="13"/>
  <c r="M199" i="13"/>
  <c r="J199" i="13"/>
  <c r="I195" i="13"/>
  <c r="L189" i="13"/>
  <c r="N189" i="13" s="1"/>
  <c r="L188" i="13"/>
  <c r="M187" i="13"/>
  <c r="N186" i="13"/>
  <c r="M185" i="13"/>
  <c r="J185" i="13"/>
  <c r="I182" i="13"/>
  <c r="K182" i="13" s="1"/>
  <c r="I181" i="13"/>
  <c r="K181" i="13" s="1"/>
  <c r="I180" i="13"/>
  <c r="I179" i="13"/>
  <c r="K179" i="13" s="1"/>
  <c r="L173" i="13"/>
  <c r="N173" i="13" s="1"/>
  <c r="L172" i="13"/>
  <c r="N172" i="13" s="1"/>
  <c r="M171" i="13"/>
  <c r="N170" i="13"/>
  <c r="M169" i="13"/>
  <c r="J169" i="13"/>
  <c r="K164" i="13"/>
  <c r="J158" i="13"/>
  <c r="I158" i="13"/>
  <c r="K158" i="13" s="1"/>
  <c r="I155" i="13"/>
  <c r="K155" i="13" s="1"/>
  <c r="J149" i="13"/>
  <c r="J144" i="13" s="1"/>
  <c r="L148" i="13"/>
  <c r="N147" i="13"/>
  <c r="M146" i="13"/>
  <c r="N145" i="13"/>
  <c r="M144" i="13"/>
  <c r="L141" i="13"/>
  <c r="N141" i="13" s="1"/>
  <c r="I141" i="13"/>
  <c r="K141" i="13" s="1"/>
  <c r="L140" i="13"/>
  <c r="N140" i="13" s="1"/>
  <c r="I140" i="13"/>
  <c r="K140" i="13" s="1"/>
  <c r="L138" i="13"/>
  <c r="N138" i="13" s="1"/>
  <c r="I138" i="13"/>
  <c r="L132" i="13"/>
  <c r="M131" i="13"/>
  <c r="N130" i="13"/>
  <c r="M129" i="13"/>
  <c r="J129" i="13"/>
  <c r="L126" i="13"/>
  <c r="N126" i="13" s="1"/>
  <c r="I126" i="13"/>
  <c r="K126" i="13" s="1"/>
  <c r="L125" i="13"/>
  <c r="N125" i="13" s="1"/>
  <c r="I125" i="13"/>
  <c r="I124" i="13"/>
  <c r="K124" i="13" s="1"/>
  <c r="L117" i="13"/>
  <c r="N117" i="13" s="1"/>
  <c r="M116" i="13"/>
  <c r="N115" i="13"/>
  <c r="M114" i="13"/>
  <c r="J114" i="13"/>
  <c r="L111" i="13"/>
  <c r="N111" i="13" s="1"/>
  <c r="I111" i="13"/>
  <c r="K111" i="13" s="1"/>
  <c r="L110" i="13"/>
  <c r="N110" i="13" s="1"/>
  <c r="I110" i="13"/>
  <c r="K110" i="13" s="1"/>
  <c r="L104" i="13"/>
  <c r="N104" i="13" s="1"/>
  <c r="M103" i="13"/>
  <c r="M101" i="13" s="1"/>
  <c r="N102" i="13"/>
  <c r="J101" i="13"/>
  <c r="L98" i="13"/>
  <c r="N98" i="13" s="1"/>
  <c r="I98" i="13"/>
  <c r="L92" i="13"/>
  <c r="N92" i="13" s="1"/>
  <c r="M91" i="13"/>
  <c r="M89" i="13" s="1"/>
  <c r="N90" i="13"/>
  <c r="J89" i="13"/>
  <c r="J84" i="13"/>
  <c r="I83" i="13"/>
  <c r="K83" i="13" s="1"/>
  <c r="L77" i="13"/>
  <c r="N77" i="13" s="1"/>
  <c r="M76" i="13"/>
  <c r="N75" i="13"/>
  <c r="M74" i="13"/>
  <c r="J74" i="13"/>
  <c r="M73" i="13"/>
  <c r="L72" i="13"/>
  <c r="M71" i="13"/>
  <c r="N70" i="13"/>
  <c r="M68" i="13"/>
  <c r="J68" i="13"/>
  <c r="I62" i="13"/>
  <c r="K62" i="13" s="1"/>
  <c r="L56" i="13"/>
  <c r="N56" i="13" s="1"/>
  <c r="L55" i="13"/>
  <c r="N55" i="13" s="1"/>
  <c r="M54" i="13"/>
  <c r="N53" i="13"/>
  <c r="M52" i="13"/>
  <c r="J52" i="13"/>
  <c r="I48" i="13"/>
  <c r="I47" i="13"/>
  <c r="K47" i="13" s="1"/>
  <c r="I46" i="13"/>
  <c r="K46" i="13" s="1"/>
  <c r="I45" i="13"/>
  <c r="K45" i="13" s="1"/>
  <c r="I44" i="13"/>
  <c r="K44" i="13" s="1"/>
  <c r="I43" i="13"/>
  <c r="K43" i="13" s="1"/>
  <c r="L37" i="13"/>
  <c r="N37" i="13" s="1"/>
  <c r="L36" i="13"/>
  <c r="N36" i="13" s="1"/>
  <c r="M35" i="13"/>
  <c r="M32" i="13" s="1"/>
  <c r="M6" i="13" s="1"/>
  <c r="L35" i="13"/>
  <c r="N34" i="13"/>
  <c r="J33" i="13"/>
  <c r="J32" i="13"/>
  <c r="I28" i="13"/>
  <c r="K28" i="13" s="1"/>
  <c r="I27" i="13"/>
  <c r="K27" i="13" s="1"/>
  <c r="I26" i="13"/>
  <c r="K26" i="13" s="1"/>
  <c r="I25" i="13"/>
  <c r="K25" i="13" s="1"/>
  <c r="I24" i="13"/>
  <c r="K24" i="13" s="1"/>
  <c r="I23" i="13"/>
  <c r="I22" i="13"/>
  <c r="J21" i="13"/>
  <c r="J20" i="13"/>
  <c r="J9" i="13" s="1"/>
  <c r="L14" i="13"/>
  <c r="N14" i="13" s="1"/>
  <c r="L13" i="13"/>
  <c r="N13" i="13" s="1"/>
  <c r="M12" i="13"/>
  <c r="M9" i="13" s="1"/>
  <c r="L12" i="13"/>
  <c r="N11" i="13"/>
  <c r="J10" i="13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17" i="12"/>
  <c r="I517" i="12"/>
  <c r="J514" i="12"/>
  <c r="J513" i="12" s="1"/>
  <c r="I514" i="12"/>
  <c r="I513" i="12"/>
  <c r="K516" i="12" s="1"/>
  <c r="J510" i="12"/>
  <c r="I510" i="12"/>
  <c r="J504" i="12"/>
  <c r="I504" i="12"/>
  <c r="M494" i="12"/>
  <c r="L494" i="12"/>
  <c r="N494" i="12" s="1"/>
  <c r="L493" i="12"/>
  <c r="M492" i="12"/>
  <c r="N491" i="12"/>
  <c r="M490" i="12"/>
  <c r="J490" i="12"/>
  <c r="J489" i="12"/>
  <c r="I489" i="12"/>
  <c r="K489" i="12" s="1"/>
  <c r="J488" i="12"/>
  <c r="J473" i="12" s="1"/>
  <c r="I488" i="12"/>
  <c r="J487" i="12"/>
  <c r="I487" i="12"/>
  <c r="K487" i="12" s="1"/>
  <c r="J486" i="12"/>
  <c r="I486" i="12"/>
  <c r="J485" i="12"/>
  <c r="I485" i="12"/>
  <c r="K485" i="12" s="1"/>
  <c r="J484" i="12"/>
  <c r="I484" i="12"/>
  <c r="J483" i="12"/>
  <c r="I483" i="12"/>
  <c r="K483" i="12" s="1"/>
  <c r="J482" i="12"/>
  <c r="I482" i="12"/>
  <c r="M477" i="12"/>
  <c r="L477" i="12"/>
  <c r="L476" i="12"/>
  <c r="N474" i="12"/>
  <c r="K472" i="12"/>
  <c r="K471" i="12"/>
  <c r="K470" i="12"/>
  <c r="K469" i="12"/>
  <c r="K468" i="12"/>
  <c r="J466" i="12"/>
  <c r="I466" i="12"/>
  <c r="M461" i="12"/>
  <c r="M459" i="12" s="1"/>
  <c r="M457" i="12" s="1"/>
  <c r="L461" i="12"/>
  <c r="L460" i="12"/>
  <c r="N460" i="12" s="1"/>
  <c r="N458" i="12"/>
  <c r="J457" i="12"/>
  <c r="I456" i="12"/>
  <c r="K456" i="12" s="1"/>
  <c r="I455" i="12"/>
  <c r="I454" i="12"/>
  <c r="K454" i="12" s="1"/>
  <c r="I453" i="12"/>
  <c r="K453" i="12" s="1"/>
  <c r="M448" i="12"/>
  <c r="L448" i="12"/>
  <c r="N448" i="12" s="1"/>
  <c r="L447" i="12"/>
  <c r="M446" i="12"/>
  <c r="M444" i="12" s="1"/>
  <c r="N445" i="12"/>
  <c r="J444" i="12"/>
  <c r="I441" i="12"/>
  <c r="K441" i="12" s="1"/>
  <c r="I440" i="12"/>
  <c r="M430" i="12"/>
  <c r="L430" i="12"/>
  <c r="N430" i="12" s="1"/>
  <c r="L429" i="12"/>
  <c r="N429" i="12" s="1"/>
  <c r="M428" i="12"/>
  <c r="N427" i="12"/>
  <c r="M426" i="12"/>
  <c r="J426" i="12"/>
  <c r="J417" i="12"/>
  <c r="I419" i="12" s="1"/>
  <c r="J416" i="12"/>
  <c r="I418" i="12" s="1"/>
  <c r="J415" i="12"/>
  <c r="J414" i="12"/>
  <c r="J413" i="12"/>
  <c r="J412" i="12"/>
  <c r="I411" i="12"/>
  <c r="I410" i="12"/>
  <c r="I409" i="12"/>
  <c r="K408" i="12"/>
  <c r="K407" i="12"/>
  <c r="K406" i="12"/>
  <c r="K405" i="12"/>
  <c r="K404" i="12"/>
  <c r="K403" i="12"/>
  <c r="K402" i="12"/>
  <c r="J402" i="12"/>
  <c r="K401" i="12"/>
  <c r="J401" i="12"/>
  <c r="J391" i="12" s="1"/>
  <c r="J390" i="12" s="1"/>
  <c r="K400" i="12"/>
  <c r="K399" i="12"/>
  <c r="K398" i="12"/>
  <c r="K397" i="12"/>
  <c r="K396" i="12"/>
  <c r="K395" i="12"/>
  <c r="K394" i="12"/>
  <c r="J394" i="12"/>
  <c r="K393" i="12"/>
  <c r="J393" i="12"/>
  <c r="J392" i="12"/>
  <c r="I392" i="12"/>
  <c r="I391" i="12"/>
  <c r="K391" i="12" s="1"/>
  <c r="I390" i="12"/>
  <c r="K390" i="12" s="1"/>
  <c r="K389" i="12"/>
  <c r="K388" i="12"/>
  <c r="K387" i="12"/>
  <c r="K386" i="12"/>
  <c r="K385" i="12"/>
  <c r="K384" i="12"/>
  <c r="K383" i="12"/>
  <c r="J383" i="12"/>
  <c r="K382" i="12"/>
  <c r="J382" i="12"/>
  <c r="K381" i="12"/>
  <c r="K380" i="12"/>
  <c r="K379" i="12"/>
  <c r="K378" i="12"/>
  <c r="J377" i="12"/>
  <c r="J376" i="12"/>
  <c r="K375" i="12"/>
  <c r="K374" i="12"/>
  <c r="K373" i="12"/>
  <c r="K372" i="12"/>
  <c r="K371" i="12"/>
  <c r="K370" i="12"/>
  <c r="J369" i="12"/>
  <c r="J368" i="12"/>
  <c r="K367" i="12"/>
  <c r="K366" i="12"/>
  <c r="K365" i="12"/>
  <c r="K364" i="12"/>
  <c r="K363" i="12"/>
  <c r="K362" i="12"/>
  <c r="J361" i="12"/>
  <c r="I361" i="12"/>
  <c r="J360" i="12"/>
  <c r="I360" i="12"/>
  <c r="K360" i="12" s="1"/>
  <c r="J359" i="12"/>
  <c r="I359" i="12"/>
  <c r="I350" i="12" s="1"/>
  <c r="K350" i="12" s="1"/>
  <c r="M354" i="12"/>
  <c r="M352" i="12" s="1"/>
  <c r="M350" i="12" s="1"/>
  <c r="L354" i="12"/>
  <c r="N354" i="12" s="1"/>
  <c r="L353" i="12"/>
  <c r="N351" i="12"/>
  <c r="J350" i="12"/>
  <c r="I347" i="12"/>
  <c r="K347" i="12" s="1"/>
  <c r="I346" i="12"/>
  <c r="K346" i="12" s="1"/>
  <c r="I345" i="12"/>
  <c r="J344" i="12"/>
  <c r="M334" i="12"/>
  <c r="M332" i="12" s="1"/>
  <c r="M330" i="12" s="1"/>
  <c r="L334" i="12"/>
  <c r="N334" i="12" s="1"/>
  <c r="L333" i="12"/>
  <c r="N331" i="12"/>
  <c r="J330" i="12"/>
  <c r="I327" i="12"/>
  <c r="I326" i="12"/>
  <c r="K326" i="12" s="1"/>
  <c r="J325" i="12"/>
  <c r="I324" i="12"/>
  <c r="K324" i="12" s="1"/>
  <c r="I323" i="12"/>
  <c r="K323" i="12" s="1"/>
  <c r="I322" i="12"/>
  <c r="K322" i="12" s="1"/>
  <c r="J321" i="12"/>
  <c r="I321" i="12"/>
  <c r="K321" i="12" s="1"/>
  <c r="I320" i="12"/>
  <c r="K320" i="12" s="1"/>
  <c r="I319" i="12"/>
  <c r="K319" i="12" s="1"/>
  <c r="I318" i="12"/>
  <c r="K318" i="12" s="1"/>
  <c r="I317" i="12"/>
  <c r="K317" i="12" s="1"/>
  <c r="J316" i="12"/>
  <c r="I316" i="12"/>
  <c r="K316" i="12" s="1"/>
  <c r="I315" i="12"/>
  <c r="K315" i="12" s="1"/>
  <c r="I314" i="12"/>
  <c r="K314" i="12" s="1"/>
  <c r="I313" i="12"/>
  <c r="K313" i="12" s="1"/>
  <c r="J312" i="12"/>
  <c r="I312" i="12"/>
  <c r="J311" i="12"/>
  <c r="M301" i="12"/>
  <c r="L301" i="12"/>
  <c r="L300" i="12"/>
  <c r="N300" i="12" s="1"/>
  <c r="M299" i="12"/>
  <c r="M296" i="12" s="1"/>
  <c r="N298" i="12"/>
  <c r="J297" i="12"/>
  <c r="J296" i="12"/>
  <c r="I293" i="12"/>
  <c r="K293" i="12" s="1"/>
  <c r="I292" i="12"/>
  <c r="I291" i="12"/>
  <c r="M280" i="12"/>
  <c r="L280" i="12"/>
  <c r="L279" i="12"/>
  <c r="N279" i="12" s="1"/>
  <c r="M278" i="12"/>
  <c r="M275" i="12" s="1"/>
  <c r="N277" i="12"/>
  <c r="J276" i="12"/>
  <c r="J275" i="12"/>
  <c r="I272" i="12"/>
  <c r="K272" i="12" s="1"/>
  <c r="I271" i="12"/>
  <c r="K271" i="12" s="1"/>
  <c r="J270" i="12"/>
  <c r="J244" i="12" s="1"/>
  <c r="I268" i="12"/>
  <c r="K268" i="12" s="1"/>
  <c r="I266" i="12"/>
  <c r="K266" i="12" s="1"/>
  <c r="I264" i="12"/>
  <c r="J263" i="12"/>
  <c r="I263" i="12"/>
  <c r="I267" i="12" s="1"/>
  <c r="K267" i="12" s="1"/>
  <c r="J262" i="12"/>
  <c r="I260" i="12"/>
  <c r="K260" i="12" s="1"/>
  <c r="J259" i="12"/>
  <c r="M249" i="12"/>
  <c r="L249" i="12"/>
  <c r="L248" i="12"/>
  <c r="N248" i="12" s="1"/>
  <c r="M247" i="12"/>
  <c r="M244" i="12" s="1"/>
  <c r="N246" i="12"/>
  <c r="J245" i="12"/>
  <c r="K241" i="12"/>
  <c r="J241" i="12"/>
  <c r="J240" i="12"/>
  <c r="I240" i="12"/>
  <c r="K239" i="12"/>
  <c r="J239" i="12"/>
  <c r="J238" i="12"/>
  <c r="I238" i="12"/>
  <c r="K237" i="12"/>
  <c r="J237" i="12"/>
  <c r="J236" i="12"/>
  <c r="I236" i="12"/>
  <c r="I228" i="12" s="1"/>
  <c r="J235" i="12"/>
  <c r="I235" i="12"/>
  <c r="K234" i="12"/>
  <c r="J234" i="12"/>
  <c r="L232" i="12"/>
  <c r="L231" i="12"/>
  <c r="N231" i="12" s="1"/>
  <c r="M230" i="12"/>
  <c r="M228" i="12" s="1"/>
  <c r="N229" i="12"/>
  <c r="I224" i="12"/>
  <c r="K224" i="12" s="1"/>
  <c r="L218" i="12"/>
  <c r="N218" i="12" s="1"/>
  <c r="N217" i="12"/>
  <c r="M216" i="12"/>
  <c r="N215" i="12"/>
  <c r="M214" i="12"/>
  <c r="J214" i="12"/>
  <c r="I211" i="12"/>
  <c r="K211" i="12" s="1"/>
  <c r="I209" i="12"/>
  <c r="L203" i="12"/>
  <c r="L201" i="12" s="1"/>
  <c r="N202" i="12"/>
  <c r="M201" i="12"/>
  <c r="M199" i="12" s="1"/>
  <c r="N200" i="12"/>
  <c r="J199" i="12"/>
  <c r="I195" i="12"/>
  <c r="L189" i="12"/>
  <c r="L188" i="12"/>
  <c r="N188" i="12" s="1"/>
  <c r="M187" i="12"/>
  <c r="M185" i="12" s="1"/>
  <c r="N186" i="12"/>
  <c r="J185" i="12"/>
  <c r="I182" i="12"/>
  <c r="K182" i="12" s="1"/>
  <c r="I181" i="12"/>
  <c r="K181" i="12" s="1"/>
  <c r="I180" i="12"/>
  <c r="I179" i="12"/>
  <c r="K179" i="12" s="1"/>
  <c r="L173" i="12"/>
  <c r="N173" i="12" s="1"/>
  <c r="L172" i="12"/>
  <c r="M171" i="12"/>
  <c r="N170" i="12"/>
  <c r="M169" i="12"/>
  <c r="J169" i="12"/>
  <c r="K164" i="12"/>
  <c r="K158" i="12"/>
  <c r="J158" i="12"/>
  <c r="J144" i="12" s="1"/>
  <c r="I158" i="12"/>
  <c r="I155" i="12"/>
  <c r="J149" i="12"/>
  <c r="L148" i="12"/>
  <c r="N148" i="12" s="1"/>
  <c r="N147" i="12"/>
  <c r="M146" i="12"/>
  <c r="N145" i="12"/>
  <c r="M144" i="12"/>
  <c r="L141" i="12"/>
  <c r="N141" i="12" s="1"/>
  <c r="I141" i="12"/>
  <c r="K141" i="12" s="1"/>
  <c r="L140" i="12"/>
  <c r="N140" i="12" s="1"/>
  <c r="I140" i="12"/>
  <c r="K140" i="12" s="1"/>
  <c r="L138" i="12"/>
  <c r="N138" i="12" s="1"/>
  <c r="I138" i="12"/>
  <c r="L132" i="12"/>
  <c r="M131" i="12"/>
  <c r="M129" i="12" s="1"/>
  <c r="N130" i="12"/>
  <c r="J129" i="12"/>
  <c r="L126" i="12"/>
  <c r="N126" i="12" s="1"/>
  <c r="I126" i="12"/>
  <c r="K126" i="12" s="1"/>
  <c r="L125" i="12"/>
  <c r="N125" i="12" s="1"/>
  <c r="I125" i="12"/>
  <c r="I124" i="12"/>
  <c r="K124" i="12" s="1"/>
  <c r="L117" i="12"/>
  <c r="M116" i="12"/>
  <c r="N115" i="12"/>
  <c r="M114" i="12"/>
  <c r="J114" i="12"/>
  <c r="L111" i="12"/>
  <c r="N111" i="12" s="1"/>
  <c r="I111" i="12"/>
  <c r="I101" i="12" s="1"/>
  <c r="K101" i="12" s="1"/>
  <c r="L110" i="12"/>
  <c r="N110" i="12" s="1"/>
  <c r="I110" i="12"/>
  <c r="K110" i="12" s="1"/>
  <c r="L104" i="12"/>
  <c r="M103" i="12"/>
  <c r="N102" i="12"/>
  <c r="M101" i="12"/>
  <c r="J101" i="12"/>
  <c r="L98" i="12"/>
  <c r="N98" i="12" s="1"/>
  <c r="I98" i="12"/>
  <c r="L92" i="12"/>
  <c r="M91" i="12"/>
  <c r="N90" i="12"/>
  <c r="M89" i="12"/>
  <c r="J89" i="12"/>
  <c r="J84" i="12"/>
  <c r="I83" i="12"/>
  <c r="L77" i="12"/>
  <c r="N77" i="12" s="1"/>
  <c r="M76" i="12"/>
  <c r="N75" i="12"/>
  <c r="M74" i="12"/>
  <c r="J74" i="12"/>
  <c r="M73" i="12"/>
  <c r="L72" i="12"/>
  <c r="N72" i="12" s="1"/>
  <c r="M71" i="12"/>
  <c r="N70" i="12"/>
  <c r="M68" i="12"/>
  <c r="J68" i="12"/>
  <c r="I62" i="12"/>
  <c r="L56" i="12"/>
  <c r="N56" i="12" s="1"/>
  <c r="L55" i="12"/>
  <c r="M54" i="12"/>
  <c r="N53" i="12"/>
  <c r="M52" i="12"/>
  <c r="J52" i="12"/>
  <c r="I48" i="12"/>
  <c r="I47" i="12"/>
  <c r="K47" i="12" s="1"/>
  <c r="I46" i="12"/>
  <c r="K46" i="12" s="1"/>
  <c r="I45" i="12"/>
  <c r="K45" i="12" s="1"/>
  <c r="I44" i="12"/>
  <c r="I43" i="12"/>
  <c r="K43" i="12" s="1"/>
  <c r="L37" i="12"/>
  <c r="N37" i="12" s="1"/>
  <c r="L36" i="12"/>
  <c r="N36" i="12" s="1"/>
  <c r="M35" i="12"/>
  <c r="M32" i="12" s="1"/>
  <c r="L35" i="12"/>
  <c r="L32" i="12" s="1"/>
  <c r="N34" i="12"/>
  <c r="J33" i="12"/>
  <c r="J32" i="12"/>
  <c r="I28" i="12"/>
  <c r="K28" i="12" s="1"/>
  <c r="I27" i="12"/>
  <c r="K27" i="12" s="1"/>
  <c r="I26" i="12"/>
  <c r="K26" i="12" s="1"/>
  <c r="I25" i="12"/>
  <c r="K25" i="12" s="1"/>
  <c r="I24" i="12"/>
  <c r="K24" i="12" s="1"/>
  <c r="I23" i="12"/>
  <c r="I22" i="12"/>
  <c r="J21" i="12"/>
  <c r="J20" i="12"/>
  <c r="L14" i="12"/>
  <c r="N14" i="12" s="1"/>
  <c r="L13" i="12"/>
  <c r="N13" i="12" s="1"/>
  <c r="M12" i="12"/>
  <c r="L12" i="12"/>
  <c r="N12" i="12" s="1"/>
  <c r="N11" i="12"/>
  <c r="J10" i="12"/>
  <c r="M9" i="12"/>
  <c r="J9" i="12"/>
  <c r="J528" i="11"/>
  <c r="I528" i="11"/>
  <c r="J527" i="11"/>
  <c r="I527" i="11"/>
  <c r="J526" i="11"/>
  <c r="I526" i="11"/>
  <c r="K526" i="11" s="1"/>
  <c r="J525" i="11"/>
  <c r="I525" i="11"/>
  <c r="K525" i="11" s="1"/>
  <c r="J524" i="11"/>
  <c r="I524" i="11"/>
  <c r="J523" i="11"/>
  <c r="I523" i="11"/>
  <c r="J522" i="11"/>
  <c r="I522" i="11"/>
  <c r="J521" i="11"/>
  <c r="I521" i="11"/>
  <c r="J517" i="11"/>
  <c r="I517" i="11"/>
  <c r="J514" i="11"/>
  <c r="J513" i="11" s="1"/>
  <c r="I514" i="11"/>
  <c r="I513" i="11"/>
  <c r="K519" i="11" s="1"/>
  <c r="J510" i="11"/>
  <c r="I510" i="11"/>
  <c r="J504" i="11"/>
  <c r="J490" i="11" s="1"/>
  <c r="I504" i="11"/>
  <c r="K507" i="11" s="1"/>
  <c r="M494" i="11"/>
  <c r="L494" i="11"/>
  <c r="N494" i="11" s="1"/>
  <c r="L493" i="11"/>
  <c r="M492" i="11"/>
  <c r="M490" i="11" s="1"/>
  <c r="N491" i="11"/>
  <c r="J489" i="11"/>
  <c r="I489" i="11"/>
  <c r="K489" i="11" s="1"/>
  <c r="J488" i="11"/>
  <c r="J473" i="11" s="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J483" i="11"/>
  <c r="I483" i="11"/>
  <c r="K483" i="11" s="1"/>
  <c r="J482" i="11"/>
  <c r="I482" i="11"/>
  <c r="K482" i="11" s="1"/>
  <c r="M477" i="11"/>
  <c r="L477" i="11"/>
  <c r="N477" i="11" s="1"/>
  <c r="L476" i="11"/>
  <c r="M475" i="11"/>
  <c r="N474" i="11"/>
  <c r="M473" i="11"/>
  <c r="K472" i="11"/>
  <c r="K471" i="11"/>
  <c r="K470" i="11"/>
  <c r="K469" i="11"/>
  <c r="K468" i="11"/>
  <c r="J466" i="11"/>
  <c r="I466" i="11"/>
  <c r="M461" i="11"/>
  <c r="M459" i="11" s="1"/>
  <c r="M457" i="11" s="1"/>
  <c r="L461" i="11"/>
  <c r="N461" i="11" s="1"/>
  <c r="L460" i="11"/>
  <c r="N458" i="11"/>
  <c r="J457" i="11"/>
  <c r="I456" i="11"/>
  <c r="K456" i="11" s="1"/>
  <c r="I455" i="11"/>
  <c r="K455" i="11" s="1"/>
  <c r="I454" i="11"/>
  <c r="K454" i="11" s="1"/>
  <c r="I453" i="11"/>
  <c r="M448" i="11"/>
  <c r="M446" i="11" s="1"/>
  <c r="M444" i="11" s="1"/>
  <c r="L448" i="11"/>
  <c r="L447" i="11"/>
  <c r="N447" i="11" s="1"/>
  <c r="N445" i="11"/>
  <c r="J444" i="11"/>
  <c r="I441" i="11"/>
  <c r="K441" i="11" s="1"/>
  <c r="I440" i="11"/>
  <c r="M430" i="11"/>
  <c r="L430" i="11"/>
  <c r="L429" i="11"/>
  <c r="N429" i="11" s="1"/>
  <c r="M428" i="11"/>
  <c r="M426" i="11" s="1"/>
  <c r="N427" i="11"/>
  <c r="J426" i="11"/>
  <c r="J417" i="11"/>
  <c r="I419" i="11" s="1"/>
  <c r="J416" i="11"/>
  <c r="I418" i="11" s="1"/>
  <c r="J415" i="11"/>
  <c r="J414" i="11"/>
  <c r="J413" i="11"/>
  <c r="J412" i="11"/>
  <c r="I411" i="11"/>
  <c r="I410" i="11"/>
  <c r="I409" i="11"/>
  <c r="K408" i="11"/>
  <c r="K407" i="11"/>
  <c r="K406" i="11"/>
  <c r="K405" i="11"/>
  <c r="K404" i="11"/>
  <c r="K403" i="11"/>
  <c r="K402" i="11"/>
  <c r="J402" i="11"/>
  <c r="K401" i="11"/>
  <c r="J401" i="11"/>
  <c r="J391" i="11" s="1"/>
  <c r="J390" i="11" s="1"/>
  <c r="K400" i="11"/>
  <c r="K399" i="11"/>
  <c r="K398" i="11"/>
  <c r="K397" i="11"/>
  <c r="K396" i="11"/>
  <c r="K395" i="11"/>
  <c r="K394" i="11"/>
  <c r="J394" i="11"/>
  <c r="K393" i="11"/>
  <c r="J393" i="11"/>
  <c r="J392" i="11"/>
  <c r="I392" i="11"/>
  <c r="K392" i="11" s="1"/>
  <c r="I391" i="11"/>
  <c r="K391" i="11" s="1"/>
  <c r="I390" i="11"/>
  <c r="K390" i="11" s="1"/>
  <c r="K389" i="11"/>
  <c r="K388" i="11"/>
  <c r="K387" i="11"/>
  <c r="K386" i="11"/>
  <c r="K385" i="11"/>
  <c r="K384" i="11"/>
  <c r="K383" i="11"/>
  <c r="J383" i="11"/>
  <c r="J377" i="11" s="1"/>
  <c r="K382" i="11"/>
  <c r="J382" i="11"/>
  <c r="K381" i="11"/>
  <c r="K380" i="11"/>
  <c r="K379" i="11"/>
  <c r="K378" i="11"/>
  <c r="J376" i="11"/>
  <c r="K375" i="11"/>
  <c r="K374" i="11"/>
  <c r="K373" i="11"/>
  <c r="K372" i="11"/>
  <c r="K371" i="11"/>
  <c r="K370" i="11"/>
  <c r="J369" i="11"/>
  <c r="J368" i="11"/>
  <c r="K367" i="11"/>
  <c r="K366" i="11"/>
  <c r="K365" i="11"/>
  <c r="K364" i="11"/>
  <c r="K363" i="11"/>
  <c r="K362" i="11"/>
  <c r="J361" i="11"/>
  <c r="I361" i="11"/>
  <c r="J360" i="11"/>
  <c r="I360" i="11"/>
  <c r="K360" i="11" s="1"/>
  <c r="J359" i="11"/>
  <c r="I359" i="11"/>
  <c r="I368" i="11" s="1"/>
  <c r="K368" i="11" s="1"/>
  <c r="M354" i="11"/>
  <c r="M352" i="11" s="1"/>
  <c r="M350" i="11" s="1"/>
  <c r="L354" i="11"/>
  <c r="N354" i="11" s="1"/>
  <c r="L353" i="11"/>
  <c r="N351" i="11"/>
  <c r="J350" i="11"/>
  <c r="I347" i="11"/>
  <c r="K347" i="11" s="1"/>
  <c r="I346" i="11"/>
  <c r="K346" i="11" s="1"/>
  <c r="I345" i="11"/>
  <c r="J344" i="11"/>
  <c r="M334" i="11"/>
  <c r="M332" i="11" s="1"/>
  <c r="M330" i="11" s="1"/>
  <c r="L334" i="11"/>
  <c r="N334" i="11" s="1"/>
  <c r="L333" i="11"/>
  <c r="N331" i="11"/>
  <c r="J330" i="11"/>
  <c r="I327" i="11"/>
  <c r="K327" i="11" s="1"/>
  <c r="I326" i="11"/>
  <c r="K326" i="11" s="1"/>
  <c r="J325" i="11"/>
  <c r="I324" i="11"/>
  <c r="K324" i="11" s="1"/>
  <c r="I323" i="11"/>
  <c r="K323" i="11" s="1"/>
  <c r="I322" i="11"/>
  <c r="K322" i="11" s="1"/>
  <c r="J321" i="11"/>
  <c r="I321" i="11"/>
  <c r="I320" i="11"/>
  <c r="K320" i="11" s="1"/>
  <c r="I319" i="11"/>
  <c r="K319" i="11" s="1"/>
  <c r="I318" i="11"/>
  <c r="K318" i="11" s="1"/>
  <c r="I317" i="11"/>
  <c r="K317" i="11" s="1"/>
  <c r="J316" i="11"/>
  <c r="I316" i="11"/>
  <c r="I315" i="11"/>
  <c r="K315" i="11" s="1"/>
  <c r="I314" i="11"/>
  <c r="K314" i="11" s="1"/>
  <c r="I313" i="11"/>
  <c r="J312" i="11"/>
  <c r="I312" i="11"/>
  <c r="K312" i="11" s="1"/>
  <c r="J311" i="11"/>
  <c r="J297" i="11" s="1"/>
  <c r="M301" i="11"/>
  <c r="L301" i="11"/>
  <c r="N301" i="11" s="1"/>
  <c r="L300" i="11"/>
  <c r="M299" i="11"/>
  <c r="M296" i="11" s="1"/>
  <c r="N298" i="11"/>
  <c r="J296" i="11"/>
  <c r="I293" i="11"/>
  <c r="K293" i="11" s="1"/>
  <c r="I292" i="11"/>
  <c r="K292" i="11" s="1"/>
  <c r="I291" i="11"/>
  <c r="K291" i="11" s="1"/>
  <c r="M280" i="11"/>
  <c r="L280" i="11"/>
  <c r="N280" i="11" s="1"/>
  <c r="L279" i="11"/>
  <c r="M278" i="11"/>
  <c r="M275" i="11" s="1"/>
  <c r="N277" i="11"/>
  <c r="J276" i="11"/>
  <c r="J275" i="11"/>
  <c r="I272" i="11"/>
  <c r="K272" i="11" s="1"/>
  <c r="I271" i="11"/>
  <c r="K271" i="11" s="1"/>
  <c r="J270" i="11"/>
  <c r="J244" i="11" s="1"/>
  <c r="I268" i="11"/>
  <c r="K268" i="11" s="1"/>
  <c r="I266" i="11"/>
  <c r="K266" i="11" s="1"/>
  <c r="I264" i="11"/>
  <c r="J263" i="11"/>
  <c r="I263" i="11"/>
  <c r="I267" i="11" s="1"/>
  <c r="K267" i="11" s="1"/>
  <c r="J262" i="11"/>
  <c r="I260" i="11"/>
  <c r="K260" i="11" s="1"/>
  <c r="J259" i="11"/>
  <c r="M249" i="11"/>
  <c r="L249" i="11"/>
  <c r="N249" i="11" s="1"/>
  <c r="L248" i="11"/>
  <c r="M247" i="11"/>
  <c r="M244" i="11" s="1"/>
  <c r="N246" i="11"/>
  <c r="J245" i="11"/>
  <c r="K241" i="11"/>
  <c r="J241" i="11"/>
  <c r="J240" i="11"/>
  <c r="I240" i="11"/>
  <c r="K239" i="11"/>
  <c r="J239" i="11"/>
  <c r="J238" i="11"/>
  <c r="I238" i="11"/>
  <c r="K237" i="11"/>
  <c r="J237" i="11"/>
  <c r="J236" i="11"/>
  <c r="I236" i="11"/>
  <c r="I228" i="11" s="1"/>
  <c r="J235" i="11"/>
  <c r="I235" i="11"/>
  <c r="K234" i="11"/>
  <c r="J234" i="11"/>
  <c r="L232" i="11"/>
  <c r="N232" i="11" s="1"/>
  <c r="L231" i="11"/>
  <c r="M230" i="11"/>
  <c r="N229" i="11"/>
  <c r="M228" i="11"/>
  <c r="I224" i="11"/>
  <c r="L218" i="11"/>
  <c r="N217" i="11"/>
  <c r="M216" i="11"/>
  <c r="N215" i="11"/>
  <c r="M214" i="11"/>
  <c r="J214" i="11"/>
  <c r="I211" i="11"/>
  <c r="K211" i="11" s="1"/>
  <c r="I209" i="11"/>
  <c r="K209" i="11" s="1"/>
  <c r="L203" i="11"/>
  <c r="N203" i="11" s="1"/>
  <c r="N202" i="11"/>
  <c r="M201" i="11"/>
  <c r="M199" i="11" s="1"/>
  <c r="N200" i="11"/>
  <c r="J199" i="11"/>
  <c r="I195" i="11"/>
  <c r="K195" i="11" s="1"/>
  <c r="L189" i="11"/>
  <c r="N189" i="11" s="1"/>
  <c r="L188" i="11"/>
  <c r="N188" i="11" s="1"/>
  <c r="M187" i="11"/>
  <c r="M185" i="11" s="1"/>
  <c r="N186" i="11"/>
  <c r="J185" i="11"/>
  <c r="I185" i="11"/>
  <c r="K185" i="11" s="1"/>
  <c r="I182" i="11"/>
  <c r="K182" i="11" s="1"/>
  <c r="I181" i="11"/>
  <c r="K181" i="11" s="1"/>
  <c r="I180" i="11"/>
  <c r="I169" i="11" s="1"/>
  <c r="K169" i="11" s="1"/>
  <c r="I179" i="11"/>
  <c r="K179" i="11" s="1"/>
  <c r="L173" i="11"/>
  <c r="N173" i="11" s="1"/>
  <c r="L172" i="11"/>
  <c r="M171" i="11"/>
  <c r="N170" i="11"/>
  <c r="M169" i="11"/>
  <c r="J169" i="11"/>
  <c r="K164" i="11"/>
  <c r="K158" i="11"/>
  <c r="J158" i="11"/>
  <c r="J144" i="11" s="1"/>
  <c r="I158" i="11"/>
  <c r="I155" i="11"/>
  <c r="J149" i="11"/>
  <c r="L148" i="11"/>
  <c r="N147" i="11"/>
  <c r="M146" i="11"/>
  <c r="M144" i="11" s="1"/>
  <c r="N145" i="11"/>
  <c r="L141" i="11"/>
  <c r="N141" i="11" s="1"/>
  <c r="I141" i="11"/>
  <c r="K141" i="11" s="1"/>
  <c r="L140" i="11"/>
  <c r="N140" i="11" s="1"/>
  <c r="I140" i="11"/>
  <c r="K140" i="11" s="1"/>
  <c r="L138" i="11"/>
  <c r="N138" i="11" s="1"/>
  <c r="I138" i="11"/>
  <c r="L132" i="11"/>
  <c r="M131" i="11"/>
  <c r="N130" i="11"/>
  <c r="M129" i="11"/>
  <c r="J129" i="11"/>
  <c r="L126" i="11"/>
  <c r="N126" i="11" s="1"/>
  <c r="I126" i="11"/>
  <c r="L125" i="11"/>
  <c r="N125" i="11" s="1"/>
  <c r="I125" i="11"/>
  <c r="I124" i="11"/>
  <c r="K124" i="11" s="1"/>
  <c r="L117" i="11"/>
  <c r="M116" i="11"/>
  <c r="N115" i="11"/>
  <c r="M114" i="11"/>
  <c r="J114" i="11"/>
  <c r="L111" i="11"/>
  <c r="N111" i="11" s="1"/>
  <c r="I111" i="11"/>
  <c r="I101" i="11" s="1"/>
  <c r="K101" i="11" s="1"/>
  <c r="L110" i="11"/>
  <c r="N110" i="11" s="1"/>
  <c r="I110" i="11"/>
  <c r="K110" i="11" s="1"/>
  <c r="L104" i="11"/>
  <c r="M103" i="11"/>
  <c r="N102" i="11"/>
  <c r="M101" i="11"/>
  <c r="J101" i="11"/>
  <c r="L98" i="11"/>
  <c r="N98" i="11" s="1"/>
  <c r="I98" i="11"/>
  <c r="K98" i="11" s="1"/>
  <c r="L92" i="11"/>
  <c r="M91" i="11"/>
  <c r="N90" i="11"/>
  <c r="M89" i="11"/>
  <c r="J89" i="11"/>
  <c r="J84" i="11"/>
  <c r="I83" i="11"/>
  <c r="L77" i="11"/>
  <c r="N77" i="11" s="1"/>
  <c r="M76" i="11"/>
  <c r="N75" i="11"/>
  <c r="M74" i="11"/>
  <c r="J74" i="11"/>
  <c r="M73" i="11"/>
  <c r="L72" i="11"/>
  <c r="N72" i="11" s="1"/>
  <c r="M71" i="11"/>
  <c r="N70" i="11"/>
  <c r="M68" i="11"/>
  <c r="J68" i="11"/>
  <c r="I62" i="11"/>
  <c r="L56" i="11"/>
  <c r="N56" i="11" s="1"/>
  <c r="L55" i="11"/>
  <c r="M54" i="11"/>
  <c r="N53" i="11"/>
  <c r="M52" i="11"/>
  <c r="J52" i="11"/>
  <c r="I48" i="11"/>
  <c r="K48" i="11" s="1"/>
  <c r="I47" i="11"/>
  <c r="K47" i="11" s="1"/>
  <c r="I46" i="11"/>
  <c r="K46" i="11" s="1"/>
  <c r="I45" i="11"/>
  <c r="K45" i="11" s="1"/>
  <c r="I44" i="11"/>
  <c r="I43" i="11"/>
  <c r="K43" i="11" s="1"/>
  <c r="L37" i="11"/>
  <c r="N37" i="11" s="1"/>
  <c r="L36" i="11"/>
  <c r="N36" i="11" s="1"/>
  <c r="M35" i="11"/>
  <c r="M32" i="11" s="1"/>
  <c r="L35" i="11"/>
  <c r="N35" i="11" s="1"/>
  <c r="N34" i="11"/>
  <c r="J33" i="11"/>
  <c r="J32" i="11"/>
  <c r="I28" i="11"/>
  <c r="K28" i="11" s="1"/>
  <c r="I27" i="11"/>
  <c r="K27" i="11" s="1"/>
  <c r="I26" i="11"/>
  <c r="K26" i="11" s="1"/>
  <c r="I25" i="11"/>
  <c r="K25" i="11" s="1"/>
  <c r="I24" i="11"/>
  <c r="K24" i="11" s="1"/>
  <c r="I23" i="11"/>
  <c r="K23" i="11" s="1"/>
  <c r="I22" i="11"/>
  <c r="J21" i="11"/>
  <c r="J20" i="11"/>
  <c r="L14" i="11"/>
  <c r="N14" i="11" s="1"/>
  <c r="L13" i="11"/>
  <c r="N13" i="11" s="1"/>
  <c r="M12" i="11"/>
  <c r="M9" i="11" s="1"/>
  <c r="L12" i="11"/>
  <c r="N11" i="11"/>
  <c r="J10" i="11"/>
  <c r="J9" i="11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17" i="10"/>
  <c r="I517" i="10"/>
  <c r="J514" i="10"/>
  <c r="J513" i="10" s="1"/>
  <c r="I514" i="10"/>
  <c r="I513" i="10"/>
  <c r="K519" i="10" s="1"/>
  <c r="J510" i="10"/>
  <c r="I510" i="10"/>
  <c r="J504" i="10"/>
  <c r="J490" i="10" s="1"/>
  <c r="I504" i="10"/>
  <c r="M494" i="10"/>
  <c r="L494" i="10"/>
  <c r="N494" i="10" s="1"/>
  <c r="L493" i="10"/>
  <c r="M492" i="10"/>
  <c r="N491" i="10"/>
  <c r="M490" i="10"/>
  <c r="J489" i="10"/>
  <c r="I489" i="10"/>
  <c r="K489" i="10" s="1"/>
  <c r="J488" i="10"/>
  <c r="J473" i="10" s="1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K482" i="10" s="1"/>
  <c r="M477" i="10"/>
  <c r="L477" i="10"/>
  <c r="L476" i="10"/>
  <c r="N476" i="10" s="1"/>
  <c r="M475" i="10"/>
  <c r="N474" i="10"/>
  <c r="M473" i="10"/>
  <c r="K472" i="10"/>
  <c r="K471" i="10"/>
  <c r="K470" i="10"/>
  <c r="K469" i="10"/>
  <c r="K468" i="10"/>
  <c r="J466" i="10"/>
  <c r="I466" i="10"/>
  <c r="K466" i="10" s="1"/>
  <c r="M461" i="10"/>
  <c r="L461" i="10"/>
  <c r="L460" i="10"/>
  <c r="N458" i="10"/>
  <c r="J457" i="10"/>
  <c r="I456" i="10"/>
  <c r="K456" i="10" s="1"/>
  <c r="I455" i="10"/>
  <c r="K455" i="10" s="1"/>
  <c r="I454" i="10"/>
  <c r="K454" i="10" s="1"/>
  <c r="I453" i="10"/>
  <c r="K453" i="10" s="1"/>
  <c r="M448" i="10"/>
  <c r="L448" i="10"/>
  <c r="L447" i="10"/>
  <c r="N447" i="10" s="1"/>
  <c r="M446" i="10"/>
  <c r="N445" i="10"/>
  <c r="M444" i="10"/>
  <c r="J444" i="10"/>
  <c r="I441" i="10"/>
  <c r="K441" i="10" s="1"/>
  <c r="I440" i="10"/>
  <c r="I426" i="10" s="1"/>
  <c r="K426" i="10" s="1"/>
  <c r="M430" i="10"/>
  <c r="L430" i="10"/>
  <c r="N430" i="10" s="1"/>
  <c r="L429" i="10"/>
  <c r="M428" i="10"/>
  <c r="M426" i="10" s="1"/>
  <c r="N427" i="10"/>
  <c r="J426" i="10"/>
  <c r="J417" i="10"/>
  <c r="I419" i="10" s="1"/>
  <c r="J416" i="10"/>
  <c r="I418" i="10" s="1"/>
  <c r="J415" i="10"/>
  <c r="J414" i="10"/>
  <c r="J413" i="10"/>
  <c r="J412" i="10"/>
  <c r="I411" i="10"/>
  <c r="I410" i="10"/>
  <c r="I409" i="10"/>
  <c r="K408" i="10"/>
  <c r="K407" i="10"/>
  <c r="K406" i="10"/>
  <c r="K405" i="10"/>
  <c r="K404" i="10"/>
  <c r="K403" i="10"/>
  <c r="K402" i="10"/>
  <c r="J402" i="10"/>
  <c r="K401" i="10"/>
  <c r="J401" i="10"/>
  <c r="K400" i="10"/>
  <c r="K399" i="10"/>
  <c r="K398" i="10"/>
  <c r="K397" i="10"/>
  <c r="K396" i="10"/>
  <c r="K395" i="10"/>
  <c r="K394" i="10"/>
  <c r="J394" i="10"/>
  <c r="K393" i="10"/>
  <c r="J393" i="10"/>
  <c r="J392" i="10"/>
  <c r="I392" i="10"/>
  <c r="K392" i="10" s="1"/>
  <c r="J391" i="10"/>
  <c r="J390" i="10" s="1"/>
  <c r="I391" i="10"/>
  <c r="K391" i="10" s="1"/>
  <c r="I390" i="10"/>
  <c r="K390" i="10" s="1"/>
  <c r="K389" i="10"/>
  <c r="K388" i="10"/>
  <c r="K387" i="10"/>
  <c r="K386" i="10"/>
  <c r="K385" i="10"/>
  <c r="K384" i="10"/>
  <c r="K383" i="10"/>
  <c r="J383" i="10"/>
  <c r="J377" i="10" s="1"/>
  <c r="K382" i="10"/>
  <c r="J382" i="10"/>
  <c r="K381" i="10"/>
  <c r="K380" i="10"/>
  <c r="K379" i="10"/>
  <c r="K378" i="10"/>
  <c r="J376" i="10"/>
  <c r="J359" i="10" s="1"/>
  <c r="K375" i="10"/>
  <c r="K374" i="10"/>
  <c r="K373" i="10"/>
  <c r="K372" i="10"/>
  <c r="K371" i="10"/>
  <c r="K370" i="10"/>
  <c r="J369" i="10"/>
  <c r="J368" i="10"/>
  <c r="K367" i="10"/>
  <c r="K366" i="10"/>
  <c r="K365" i="10"/>
  <c r="K364" i="10"/>
  <c r="K363" i="10"/>
  <c r="K362" i="10"/>
  <c r="J361" i="10"/>
  <c r="I361" i="10"/>
  <c r="K361" i="10" s="1"/>
  <c r="J360" i="10"/>
  <c r="I360" i="10"/>
  <c r="I359" i="10"/>
  <c r="I350" i="10" s="1"/>
  <c r="K350" i="10" s="1"/>
  <c r="M354" i="10"/>
  <c r="M352" i="10" s="1"/>
  <c r="M350" i="10" s="1"/>
  <c r="L354" i="10"/>
  <c r="N354" i="10" s="1"/>
  <c r="L353" i="10"/>
  <c r="N351" i="10"/>
  <c r="J350" i="10"/>
  <c r="I347" i="10"/>
  <c r="K347" i="10" s="1"/>
  <c r="I346" i="10"/>
  <c r="K346" i="10" s="1"/>
  <c r="I345" i="10"/>
  <c r="K345" i="10" s="1"/>
  <c r="J344" i="10"/>
  <c r="M334" i="10"/>
  <c r="M332" i="10" s="1"/>
  <c r="M330" i="10" s="1"/>
  <c r="L334" i="10"/>
  <c r="N334" i="10" s="1"/>
  <c r="L333" i="10"/>
  <c r="N333" i="10" s="1"/>
  <c r="N331" i="10"/>
  <c r="J330" i="10"/>
  <c r="I327" i="10"/>
  <c r="K327" i="10" s="1"/>
  <c r="I326" i="10"/>
  <c r="J325" i="10"/>
  <c r="I324" i="10"/>
  <c r="K324" i="10" s="1"/>
  <c r="I323" i="10"/>
  <c r="K323" i="10" s="1"/>
  <c r="I322" i="10"/>
  <c r="K322" i="10" s="1"/>
  <c r="J321" i="10"/>
  <c r="I321" i="10"/>
  <c r="I320" i="10"/>
  <c r="K320" i="10" s="1"/>
  <c r="I319" i="10"/>
  <c r="K319" i="10" s="1"/>
  <c r="I318" i="10"/>
  <c r="K318" i="10" s="1"/>
  <c r="I317" i="10"/>
  <c r="K317" i="10" s="1"/>
  <c r="J316" i="10"/>
  <c r="I316" i="10"/>
  <c r="I315" i="10"/>
  <c r="K315" i="10" s="1"/>
  <c r="I314" i="10"/>
  <c r="K314" i="10" s="1"/>
  <c r="I313" i="10"/>
  <c r="K313" i="10" s="1"/>
  <c r="J312" i="10"/>
  <c r="I312" i="10"/>
  <c r="M301" i="10"/>
  <c r="L301" i="10"/>
  <c r="N301" i="10" s="1"/>
  <c r="L300" i="10"/>
  <c r="N300" i="10" s="1"/>
  <c r="M299" i="10"/>
  <c r="N298" i="10"/>
  <c r="M296" i="10"/>
  <c r="J296" i="10"/>
  <c r="I293" i="10"/>
  <c r="K293" i="10" s="1"/>
  <c r="I292" i="10"/>
  <c r="K292" i="10" s="1"/>
  <c r="I291" i="10"/>
  <c r="M280" i="10"/>
  <c r="M278" i="10" s="1"/>
  <c r="M275" i="10" s="1"/>
  <c r="L280" i="10"/>
  <c r="L279" i="10"/>
  <c r="N277" i="10"/>
  <c r="J276" i="10"/>
  <c r="J275" i="10"/>
  <c r="I272" i="10"/>
  <c r="K272" i="10" s="1"/>
  <c r="I271" i="10"/>
  <c r="J270" i="10"/>
  <c r="J244" i="10" s="1"/>
  <c r="I268" i="10"/>
  <c r="K268" i="10" s="1"/>
  <c r="I266" i="10"/>
  <c r="K266" i="10" s="1"/>
  <c r="I264" i="10"/>
  <c r="J263" i="10"/>
  <c r="I263" i="10"/>
  <c r="I245" i="10" s="1"/>
  <c r="J262" i="10"/>
  <c r="I260" i="10"/>
  <c r="K260" i="10" s="1"/>
  <c r="J259" i="10"/>
  <c r="M249" i="10"/>
  <c r="L249" i="10"/>
  <c r="L248" i="10"/>
  <c r="N248" i="10" s="1"/>
  <c r="M247" i="10"/>
  <c r="M244" i="10" s="1"/>
  <c r="N246" i="10"/>
  <c r="J245" i="10"/>
  <c r="K241" i="10"/>
  <c r="J241" i="10"/>
  <c r="J240" i="10"/>
  <c r="J228" i="10" s="1"/>
  <c r="I240" i="10"/>
  <c r="K240" i="10" s="1"/>
  <c r="K239" i="10"/>
  <c r="J239" i="10"/>
  <c r="J238" i="10"/>
  <c r="I238" i="10"/>
  <c r="K238" i="10" s="1"/>
  <c r="K237" i="10"/>
  <c r="J237" i="10"/>
  <c r="J236" i="10"/>
  <c r="I236" i="10"/>
  <c r="I228" i="10" s="1"/>
  <c r="K228" i="10" s="1"/>
  <c r="J235" i="10"/>
  <c r="I235" i="10"/>
  <c r="K235" i="10" s="1"/>
  <c r="K234" i="10"/>
  <c r="J234" i="10"/>
  <c r="L232" i="10"/>
  <c r="N232" i="10" s="1"/>
  <c r="L231" i="10"/>
  <c r="N231" i="10" s="1"/>
  <c r="M230" i="10"/>
  <c r="N229" i="10"/>
  <c r="M228" i="10"/>
  <c r="I224" i="10"/>
  <c r="K224" i="10" s="1"/>
  <c r="L218" i="10"/>
  <c r="N218" i="10" s="1"/>
  <c r="N217" i="10"/>
  <c r="M216" i="10"/>
  <c r="N215" i="10"/>
  <c r="M214" i="10"/>
  <c r="J214" i="10"/>
  <c r="K211" i="10"/>
  <c r="I211" i="10"/>
  <c r="K209" i="10"/>
  <c r="I209" i="10"/>
  <c r="I199" i="10" s="1"/>
  <c r="K199" i="10" s="1"/>
  <c r="L203" i="10"/>
  <c r="N203" i="10" s="1"/>
  <c r="N202" i="10"/>
  <c r="M201" i="10"/>
  <c r="N200" i="10"/>
  <c r="M199" i="10"/>
  <c r="J199" i="10"/>
  <c r="I195" i="10"/>
  <c r="L189" i="10"/>
  <c r="N189" i="10" s="1"/>
  <c r="L188" i="10"/>
  <c r="M187" i="10"/>
  <c r="N186" i="10"/>
  <c r="M185" i="10"/>
  <c r="J185" i="10"/>
  <c r="I182" i="10"/>
  <c r="K182" i="10" s="1"/>
  <c r="I181" i="10"/>
  <c r="K181" i="10" s="1"/>
  <c r="I180" i="10"/>
  <c r="K180" i="10" s="1"/>
  <c r="I179" i="10"/>
  <c r="K179" i="10" s="1"/>
  <c r="L173" i="10"/>
  <c r="N173" i="10" s="1"/>
  <c r="L172" i="10"/>
  <c r="M171" i="10"/>
  <c r="M169" i="10" s="1"/>
  <c r="N170" i="10"/>
  <c r="J169" i="10"/>
  <c r="K164" i="10"/>
  <c r="J158" i="10"/>
  <c r="I158" i="10"/>
  <c r="K158" i="10" s="1"/>
  <c r="I155" i="10"/>
  <c r="K155" i="10" s="1"/>
  <c r="J149" i="10"/>
  <c r="J144" i="10" s="1"/>
  <c r="L148" i="10"/>
  <c r="N147" i="10"/>
  <c r="M146" i="10"/>
  <c r="N145" i="10"/>
  <c r="M144" i="10"/>
  <c r="L141" i="10"/>
  <c r="N141" i="10" s="1"/>
  <c r="I141" i="10"/>
  <c r="K141" i="10" s="1"/>
  <c r="L140" i="10"/>
  <c r="N140" i="10" s="1"/>
  <c r="I140" i="10"/>
  <c r="K140" i="10" s="1"/>
  <c r="L138" i="10"/>
  <c r="N138" i="10" s="1"/>
  <c r="I138" i="10"/>
  <c r="L132" i="10"/>
  <c r="M131" i="10"/>
  <c r="N130" i="10"/>
  <c r="M129" i="10"/>
  <c r="J129" i="10"/>
  <c r="L126" i="10"/>
  <c r="N126" i="10" s="1"/>
  <c r="I126" i="10"/>
  <c r="K126" i="10" s="1"/>
  <c r="L125" i="10"/>
  <c r="N125" i="10" s="1"/>
  <c r="I125" i="10"/>
  <c r="K125" i="10" s="1"/>
  <c r="I124" i="10"/>
  <c r="K124" i="10" s="1"/>
  <c r="L117" i="10"/>
  <c r="L116" i="10" s="1"/>
  <c r="L114" i="10" s="1"/>
  <c r="M116" i="10"/>
  <c r="M114" i="10" s="1"/>
  <c r="N115" i="10"/>
  <c r="J114" i="10"/>
  <c r="L111" i="10"/>
  <c r="N111" i="10" s="1"/>
  <c r="I111" i="10"/>
  <c r="L110" i="10"/>
  <c r="N110" i="10" s="1"/>
  <c r="I110" i="10"/>
  <c r="K110" i="10" s="1"/>
  <c r="L104" i="10"/>
  <c r="N104" i="10" s="1"/>
  <c r="M103" i="10"/>
  <c r="M101" i="10" s="1"/>
  <c r="N102" i="10"/>
  <c r="J101" i="10"/>
  <c r="L98" i="10"/>
  <c r="N98" i="10" s="1"/>
  <c r="I98" i="10"/>
  <c r="L92" i="10"/>
  <c r="M91" i="10"/>
  <c r="M89" i="10" s="1"/>
  <c r="M89" i="1" s="1"/>
  <c r="N90" i="10"/>
  <c r="J89" i="10"/>
  <c r="J84" i="10"/>
  <c r="I83" i="10"/>
  <c r="L77" i="10"/>
  <c r="M76" i="10"/>
  <c r="N75" i="10"/>
  <c r="M74" i="10"/>
  <c r="J74" i="10"/>
  <c r="M73" i="10"/>
  <c r="L72" i="10"/>
  <c r="N70" i="10"/>
  <c r="J68" i="10"/>
  <c r="I62" i="10"/>
  <c r="K62" i="10" s="1"/>
  <c r="L56" i="10"/>
  <c r="N56" i="10" s="1"/>
  <c r="L55" i="10"/>
  <c r="M54" i="10"/>
  <c r="N53" i="10"/>
  <c r="M52" i="10"/>
  <c r="J52" i="10"/>
  <c r="I48" i="10"/>
  <c r="I33" i="10" s="1"/>
  <c r="K33" i="10" s="1"/>
  <c r="I47" i="10"/>
  <c r="K47" i="10" s="1"/>
  <c r="I46" i="10"/>
  <c r="K46" i="10" s="1"/>
  <c r="I45" i="10"/>
  <c r="K45" i="10" s="1"/>
  <c r="I44" i="10"/>
  <c r="K44" i="10" s="1"/>
  <c r="I43" i="10"/>
  <c r="K43" i="10" s="1"/>
  <c r="L37" i="10"/>
  <c r="N37" i="10" s="1"/>
  <c r="L36" i="10"/>
  <c r="N36" i="10" s="1"/>
  <c r="M35" i="10"/>
  <c r="L35" i="10"/>
  <c r="L32" i="10" s="1"/>
  <c r="N32" i="10" s="1"/>
  <c r="N34" i="10"/>
  <c r="J33" i="10"/>
  <c r="M32" i="10"/>
  <c r="J32" i="10"/>
  <c r="I28" i="10"/>
  <c r="K28" i="10" s="1"/>
  <c r="I27" i="10"/>
  <c r="K27" i="10" s="1"/>
  <c r="I26" i="10"/>
  <c r="K26" i="10" s="1"/>
  <c r="I25" i="10"/>
  <c r="K25" i="10" s="1"/>
  <c r="I24" i="10"/>
  <c r="K24" i="10" s="1"/>
  <c r="I23" i="10"/>
  <c r="I22" i="10"/>
  <c r="K22" i="10" s="1"/>
  <c r="J21" i="10"/>
  <c r="J10" i="10" s="1"/>
  <c r="J20" i="10"/>
  <c r="J9" i="10" s="1"/>
  <c r="L14" i="10"/>
  <c r="N14" i="10" s="1"/>
  <c r="L13" i="10"/>
  <c r="N13" i="10" s="1"/>
  <c r="M12" i="10"/>
  <c r="L12" i="10"/>
  <c r="N11" i="10"/>
  <c r="M9" i="10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17" i="9"/>
  <c r="I517" i="9"/>
  <c r="J514" i="9"/>
  <c r="I514" i="9"/>
  <c r="J513" i="9"/>
  <c r="I513" i="9"/>
  <c r="J510" i="9"/>
  <c r="I510" i="9"/>
  <c r="J504" i="9"/>
  <c r="I504" i="9"/>
  <c r="M494" i="9"/>
  <c r="M492" i="9" s="1"/>
  <c r="M490" i="9" s="1"/>
  <c r="L494" i="9"/>
  <c r="N494" i="9" s="1"/>
  <c r="L493" i="9"/>
  <c r="N491" i="9"/>
  <c r="J490" i="9"/>
  <c r="J489" i="9"/>
  <c r="I489" i="9"/>
  <c r="K489" i="9" s="1"/>
  <c r="J488" i="9"/>
  <c r="J473" i="9" s="1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K482" i="9" s="1"/>
  <c r="M477" i="9"/>
  <c r="L477" i="9"/>
  <c r="L476" i="9"/>
  <c r="N476" i="9" s="1"/>
  <c r="M475" i="9"/>
  <c r="M473" i="9" s="1"/>
  <c r="N474" i="9"/>
  <c r="K472" i="9"/>
  <c r="K471" i="9"/>
  <c r="K470" i="9"/>
  <c r="K469" i="9"/>
  <c r="K468" i="9"/>
  <c r="J466" i="9"/>
  <c r="J457" i="9" s="1"/>
  <c r="I466" i="9"/>
  <c r="K466" i="9" s="1"/>
  <c r="M461" i="9"/>
  <c r="L461" i="9"/>
  <c r="N461" i="9" s="1"/>
  <c r="L460" i="9"/>
  <c r="N460" i="9" s="1"/>
  <c r="M459" i="9"/>
  <c r="M457" i="9" s="1"/>
  <c r="N458" i="9"/>
  <c r="I456" i="9"/>
  <c r="K456" i="9" s="1"/>
  <c r="I455" i="9"/>
  <c r="K455" i="9" s="1"/>
  <c r="I454" i="9"/>
  <c r="K454" i="9" s="1"/>
  <c r="I453" i="9"/>
  <c r="M448" i="9"/>
  <c r="M446" i="9" s="1"/>
  <c r="M444" i="9" s="1"/>
  <c r="L448" i="9"/>
  <c r="N448" i="9" s="1"/>
  <c r="L447" i="9"/>
  <c r="N445" i="9"/>
  <c r="J444" i="9"/>
  <c r="I441" i="9"/>
  <c r="K441" i="9" s="1"/>
  <c r="I440" i="9"/>
  <c r="K440" i="9" s="1"/>
  <c r="M430" i="9"/>
  <c r="M428" i="9" s="1"/>
  <c r="M426" i="9" s="1"/>
  <c r="L430" i="9"/>
  <c r="N430" i="9" s="1"/>
  <c r="L429" i="9"/>
  <c r="N427" i="9"/>
  <c r="J426" i="9"/>
  <c r="J417" i="9"/>
  <c r="J416" i="9"/>
  <c r="I418" i="9" s="1"/>
  <c r="J415" i="9"/>
  <c r="J414" i="9"/>
  <c r="J413" i="9"/>
  <c r="J412" i="9"/>
  <c r="I411" i="9"/>
  <c r="I410" i="9"/>
  <c r="I409" i="9"/>
  <c r="K408" i="9"/>
  <c r="K407" i="9"/>
  <c r="K406" i="9"/>
  <c r="K405" i="9"/>
  <c r="K404" i="9"/>
  <c r="K403" i="9"/>
  <c r="K402" i="9"/>
  <c r="J402" i="9"/>
  <c r="J392" i="9" s="1"/>
  <c r="K401" i="9"/>
  <c r="J401" i="9"/>
  <c r="K400" i="9"/>
  <c r="K399" i="9"/>
  <c r="K398" i="9"/>
  <c r="K397" i="9"/>
  <c r="K396" i="9"/>
  <c r="K395" i="9"/>
  <c r="K394" i="9"/>
  <c r="J394" i="9"/>
  <c r="K393" i="9"/>
  <c r="J393" i="9"/>
  <c r="I392" i="9"/>
  <c r="K392" i="9" s="1"/>
  <c r="I391" i="9"/>
  <c r="K391" i="9" s="1"/>
  <c r="I390" i="9"/>
  <c r="K390" i="9" s="1"/>
  <c r="K389" i="9"/>
  <c r="K388" i="9"/>
  <c r="K387" i="9"/>
  <c r="K386" i="9"/>
  <c r="K385" i="9"/>
  <c r="K384" i="9"/>
  <c r="K383" i="9"/>
  <c r="J383" i="9"/>
  <c r="K382" i="9"/>
  <c r="J382" i="9"/>
  <c r="J382" i="1" s="1"/>
  <c r="K381" i="9"/>
  <c r="K380" i="9"/>
  <c r="K379" i="9"/>
  <c r="K378" i="9"/>
  <c r="J377" i="9"/>
  <c r="J376" i="9"/>
  <c r="K375" i="9"/>
  <c r="K374" i="9"/>
  <c r="K373" i="9"/>
  <c r="K372" i="9"/>
  <c r="K371" i="9"/>
  <c r="K370" i="9"/>
  <c r="J369" i="9"/>
  <c r="J368" i="9"/>
  <c r="K367" i="9"/>
  <c r="K366" i="9"/>
  <c r="K365" i="9"/>
  <c r="K364" i="9"/>
  <c r="K363" i="9"/>
  <c r="K362" i="9"/>
  <c r="J361" i="9"/>
  <c r="I361" i="9"/>
  <c r="J360" i="9"/>
  <c r="I360" i="9"/>
  <c r="K360" i="9" s="1"/>
  <c r="I359" i="9"/>
  <c r="M354" i="9"/>
  <c r="L354" i="9"/>
  <c r="N354" i="9" s="1"/>
  <c r="L353" i="9"/>
  <c r="M352" i="9"/>
  <c r="N351" i="9"/>
  <c r="M350" i="9"/>
  <c r="I347" i="9"/>
  <c r="K347" i="9" s="1"/>
  <c r="I346" i="9"/>
  <c r="K346" i="9" s="1"/>
  <c r="I345" i="9"/>
  <c r="J344" i="9"/>
  <c r="M334" i="9"/>
  <c r="L334" i="9"/>
  <c r="N334" i="9" s="1"/>
  <c r="L333" i="9"/>
  <c r="M332" i="9"/>
  <c r="N331" i="9"/>
  <c r="M330" i="9"/>
  <c r="I327" i="9"/>
  <c r="K327" i="9" s="1"/>
  <c r="I326" i="9"/>
  <c r="J325" i="9"/>
  <c r="I324" i="9"/>
  <c r="K324" i="9" s="1"/>
  <c r="I323" i="9"/>
  <c r="K323" i="9" s="1"/>
  <c r="I322" i="9"/>
  <c r="K322" i="9" s="1"/>
  <c r="J321" i="9"/>
  <c r="I321" i="9"/>
  <c r="K321" i="9" s="1"/>
  <c r="I320" i="9"/>
  <c r="K320" i="9" s="1"/>
  <c r="I319" i="9"/>
  <c r="K319" i="9" s="1"/>
  <c r="I318" i="9"/>
  <c r="K318" i="9" s="1"/>
  <c r="I317" i="9"/>
  <c r="J316" i="9"/>
  <c r="I316" i="9"/>
  <c r="K316" i="9" s="1"/>
  <c r="I315" i="9"/>
  <c r="K315" i="9" s="1"/>
  <c r="I314" i="9"/>
  <c r="K314" i="9" s="1"/>
  <c r="I313" i="9"/>
  <c r="K313" i="9" s="1"/>
  <c r="J312" i="9"/>
  <c r="I312" i="9"/>
  <c r="J311" i="9"/>
  <c r="M301" i="9"/>
  <c r="M299" i="9" s="1"/>
  <c r="L301" i="9"/>
  <c r="N301" i="9" s="1"/>
  <c r="L300" i="9"/>
  <c r="N298" i="9"/>
  <c r="J297" i="9"/>
  <c r="M296" i="9"/>
  <c r="J296" i="9"/>
  <c r="I293" i="9"/>
  <c r="K293" i="9" s="1"/>
  <c r="I292" i="9"/>
  <c r="K292" i="9" s="1"/>
  <c r="I291" i="9"/>
  <c r="K291" i="9" s="1"/>
  <c r="M280" i="9"/>
  <c r="M278" i="9" s="1"/>
  <c r="L280" i="9"/>
  <c r="N280" i="9" s="1"/>
  <c r="L279" i="9"/>
  <c r="N277" i="9"/>
  <c r="J276" i="9"/>
  <c r="M275" i="9"/>
  <c r="J275" i="9"/>
  <c r="I272" i="9"/>
  <c r="K272" i="9" s="1"/>
  <c r="I271" i="9"/>
  <c r="J270" i="9"/>
  <c r="I268" i="9"/>
  <c r="K268" i="9" s="1"/>
  <c r="I266" i="9"/>
  <c r="I264" i="9"/>
  <c r="K264" i="9" s="1"/>
  <c r="J263" i="9"/>
  <c r="I263" i="9"/>
  <c r="I267" i="9" s="1"/>
  <c r="K267" i="9" s="1"/>
  <c r="J262" i="9"/>
  <c r="I260" i="9"/>
  <c r="K260" i="9" s="1"/>
  <c r="M249" i="9"/>
  <c r="M247" i="9" s="1"/>
  <c r="M244" i="9" s="1"/>
  <c r="L249" i="9"/>
  <c r="N249" i="9" s="1"/>
  <c r="L248" i="9"/>
  <c r="N246" i="9"/>
  <c r="J244" i="9"/>
  <c r="K241" i="9"/>
  <c r="J241" i="9"/>
  <c r="J240" i="9"/>
  <c r="J228" i="9" s="1"/>
  <c r="I240" i="9"/>
  <c r="K240" i="9" s="1"/>
  <c r="K239" i="9"/>
  <c r="J239" i="9"/>
  <c r="J238" i="9"/>
  <c r="I238" i="9"/>
  <c r="K238" i="9" s="1"/>
  <c r="K237" i="9"/>
  <c r="J237" i="9"/>
  <c r="J236" i="9"/>
  <c r="I236" i="9"/>
  <c r="J235" i="9"/>
  <c r="I235" i="9"/>
  <c r="K235" i="9" s="1"/>
  <c r="K234" i="9"/>
  <c r="J234" i="9"/>
  <c r="L232" i="9"/>
  <c r="N232" i="9" s="1"/>
  <c r="L231" i="9"/>
  <c r="M230" i="9"/>
  <c r="N229" i="9"/>
  <c r="M228" i="9"/>
  <c r="I224" i="9"/>
  <c r="K224" i="9" s="1"/>
  <c r="L218" i="9"/>
  <c r="N218" i="9" s="1"/>
  <c r="N217" i="9"/>
  <c r="M216" i="9"/>
  <c r="N215" i="9"/>
  <c r="M214" i="9"/>
  <c r="J214" i="9"/>
  <c r="I211" i="9"/>
  <c r="K211" i="9" s="1"/>
  <c r="I209" i="9"/>
  <c r="L203" i="9"/>
  <c r="N203" i="9" s="1"/>
  <c r="N202" i="9"/>
  <c r="M201" i="9"/>
  <c r="N200" i="9"/>
  <c r="M199" i="9"/>
  <c r="J199" i="9"/>
  <c r="I195" i="9"/>
  <c r="L189" i="9"/>
  <c r="N189" i="9" s="1"/>
  <c r="L188" i="9"/>
  <c r="M187" i="9"/>
  <c r="N186" i="9"/>
  <c r="M185" i="9"/>
  <c r="J185" i="9"/>
  <c r="I182" i="9"/>
  <c r="K182" i="9" s="1"/>
  <c r="I181" i="9"/>
  <c r="K181" i="9" s="1"/>
  <c r="I180" i="9"/>
  <c r="K180" i="9" s="1"/>
  <c r="I179" i="9"/>
  <c r="K179" i="9" s="1"/>
  <c r="L173" i="9"/>
  <c r="N173" i="9" s="1"/>
  <c r="L172" i="9"/>
  <c r="N172" i="9" s="1"/>
  <c r="M171" i="9"/>
  <c r="N170" i="9"/>
  <c r="M169" i="9"/>
  <c r="J169" i="9"/>
  <c r="K164" i="9"/>
  <c r="J158" i="9"/>
  <c r="I158" i="9"/>
  <c r="K158" i="9" s="1"/>
  <c r="I155" i="9"/>
  <c r="I149" i="9" s="1"/>
  <c r="J149" i="9"/>
  <c r="L148" i="9"/>
  <c r="N148" i="9" s="1"/>
  <c r="N147" i="9"/>
  <c r="M146" i="9"/>
  <c r="N145" i="9"/>
  <c r="M144" i="9"/>
  <c r="J144" i="9"/>
  <c r="L141" i="9"/>
  <c r="N141" i="9" s="1"/>
  <c r="I141" i="9"/>
  <c r="K141" i="9" s="1"/>
  <c r="L140" i="9"/>
  <c r="N140" i="9" s="1"/>
  <c r="I140" i="9"/>
  <c r="K140" i="9" s="1"/>
  <c r="L138" i="9"/>
  <c r="N138" i="9" s="1"/>
  <c r="I138" i="9"/>
  <c r="I129" i="9" s="1"/>
  <c r="L132" i="9"/>
  <c r="M131" i="9"/>
  <c r="N130" i="9"/>
  <c r="M129" i="9"/>
  <c r="J129" i="9"/>
  <c r="L126" i="9"/>
  <c r="N126" i="9" s="1"/>
  <c r="I126" i="9"/>
  <c r="L125" i="9"/>
  <c r="N125" i="9" s="1"/>
  <c r="I125" i="9"/>
  <c r="K125" i="9" s="1"/>
  <c r="I124" i="9"/>
  <c r="K124" i="9" s="1"/>
  <c r="L117" i="9"/>
  <c r="M116" i="9"/>
  <c r="M114" i="9" s="1"/>
  <c r="N115" i="9"/>
  <c r="J114" i="9"/>
  <c r="L111" i="9"/>
  <c r="N111" i="9" s="1"/>
  <c r="I111" i="9"/>
  <c r="L110" i="9"/>
  <c r="N110" i="9" s="1"/>
  <c r="I110" i="9"/>
  <c r="K110" i="9" s="1"/>
  <c r="L104" i="9"/>
  <c r="M103" i="9"/>
  <c r="N102" i="9"/>
  <c r="M101" i="9"/>
  <c r="J101" i="9"/>
  <c r="L98" i="9"/>
  <c r="N98" i="9" s="1"/>
  <c r="I98" i="9"/>
  <c r="K98" i="9" s="1"/>
  <c r="L92" i="9"/>
  <c r="L91" i="9" s="1"/>
  <c r="N91" i="9" s="1"/>
  <c r="M91" i="9"/>
  <c r="N90" i="9"/>
  <c r="M89" i="9"/>
  <c r="J89" i="9"/>
  <c r="J84" i="9"/>
  <c r="I83" i="9"/>
  <c r="I74" i="9" s="1"/>
  <c r="K74" i="9" s="1"/>
  <c r="L77" i="9"/>
  <c r="L76" i="9" s="1"/>
  <c r="N76" i="9" s="1"/>
  <c r="M76" i="9"/>
  <c r="N75" i="9"/>
  <c r="M74" i="9"/>
  <c r="J74" i="9"/>
  <c r="M73" i="9"/>
  <c r="M71" i="9" s="1"/>
  <c r="M68" i="9" s="1"/>
  <c r="L72" i="9"/>
  <c r="N70" i="9"/>
  <c r="I62" i="9"/>
  <c r="K62" i="9" s="1"/>
  <c r="L56" i="9"/>
  <c r="N56" i="9" s="1"/>
  <c r="L55" i="9"/>
  <c r="M54" i="9"/>
  <c r="N53" i="9"/>
  <c r="M52" i="9"/>
  <c r="J52" i="9"/>
  <c r="I48" i="9"/>
  <c r="I47" i="9"/>
  <c r="K47" i="9" s="1"/>
  <c r="I46" i="9"/>
  <c r="K46" i="9" s="1"/>
  <c r="I45" i="9"/>
  <c r="K45" i="9" s="1"/>
  <c r="I44" i="9"/>
  <c r="I32" i="9" s="1"/>
  <c r="K32" i="9" s="1"/>
  <c r="I43" i="9"/>
  <c r="K43" i="9" s="1"/>
  <c r="L37" i="9"/>
  <c r="N37" i="9" s="1"/>
  <c r="L36" i="9"/>
  <c r="N36" i="9" s="1"/>
  <c r="M35" i="9"/>
  <c r="L35" i="9"/>
  <c r="N35" i="9" s="1"/>
  <c r="N34" i="9"/>
  <c r="J33" i="9"/>
  <c r="M32" i="9"/>
  <c r="M6" i="9" s="1"/>
  <c r="J32" i="9"/>
  <c r="I28" i="9"/>
  <c r="K28" i="9" s="1"/>
  <c r="I27" i="9"/>
  <c r="K27" i="9" s="1"/>
  <c r="I26" i="9"/>
  <c r="K26" i="9" s="1"/>
  <c r="I25" i="9"/>
  <c r="K25" i="9" s="1"/>
  <c r="I24" i="9"/>
  <c r="K24" i="9" s="1"/>
  <c r="I23" i="9"/>
  <c r="I22" i="9"/>
  <c r="K22" i="9" s="1"/>
  <c r="J21" i="9"/>
  <c r="J10" i="9" s="1"/>
  <c r="J20" i="9"/>
  <c r="L14" i="9"/>
  <c r="N14" i="9" s="1"/>
  <c r="L13" i="9"/>
  <c r="N13" i="9" s="1"/>
  <c r="M12" i="9"/>
  <c r="L12" i="9"/>
  <c r="N11" i="9"/>
  <c r="M9" i="9"/>
  <c r="J9" i="9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17" i="8"/>
  <c r="I517" i="8"/>
  <c r="J514" i="8"/>
  <c r="I514" i="8"/>
  <c r="J513" i="8"/>
  <c r="I513" i="8"/>
  <c r="J510" i="8"/>
  <c r="I510" i="8"/>
  <c r="J504" i="8"/>
  <c r="I504" i="8"/>
  <c r="I490" i="8" s="1"/>
  <c r="M494" i="8"/>
  <c r="M492" i="8" s="1"/>
  <c r="M490" i="8" s="1"/>
  <c r="L494" i="8"/>
  <c r="N494" i="8" s="1"/>
  <c r="L493" i="8"/>
  <c r="N491" i="8"/>
  <c r="J490" i="8"/>
  <c r="J489" i="8"/>
  <c r="I489" i="8"/>
  <c r="K489" i="8" s="1"/>
  <c r="J488" i="8"/>
  <c r="J473" i="8" s="1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J483" i="8"/>
  <c r="I483" i="8"/>
  <c r="K483" i="8" s="1"/>
  <c r="J482" i="8"/>
  <c r="I482" i="8"/>
  <c r="K482" i="8" s="1"/>
  <c r="M477" i="8"/>
  <c r="L477" i="8"/>
  <c r="L476" i="8"/>
  <c r="N476" i="8" s="1"/>
  <c r="M475" i="8"/>
  <c r="M473" i="8" s="1"/>
  <c r="N474" i="8"/>
  <c r="K472" i="8"/>
  <c r="K471" i="8"/>
  <c r="K470" i="8"/>
  <c r="K469" i="8"/>
  <c r="K468" i="8"/>
  <c r="J466" i="8"/>
  <c r="J457" i="8" s="1"/>
  <c r="I466" i="8"/>
  <c r="K466" i="8" s="1"/>
  <c r="M461" i="8"/>
  <c r="L461" i="8"/>
  <c r="L460" i="8"/>
  <c r="N460" i="8" s="1"/>
  <c r="M459" i="8"/>
  <c r="M457" i="8" s="1"/>
  <c r="N458" i="8"/>
  <c r="I456" i="8"/>
  <c r="K456" i="8" s="1"/>
  <c r="I455" i="8"/>
  <c r="I454" i="8"/>
  <c r="K454" i="8" s="1"/>
  <c r="I453" i="8"/>
  <c r="M448" i="8"/>
  <c r="M446" i="8" s="1"/>
  <c r="M444" i="8" s="1"/>
  <c r="L448" i="8"/>
  <c r="N448" i="8" s="1"/>
  <c r="L447" i="8"/>
  <c r="N445" i="8"/>
  <c r="J444" i="8"/>
  <c r="I441" i="8"/>
  <c r="K441" i="8" s="1"/>
  <c r="I440" i="8"/>
  <c r="M430" i="8"/>
  <c r="M428" i="8" s="1"/>
  <c r="M426" i="8" s="1"/>
  <c r="L430" i="8"/>
  <c r="L429" i="8"/>
  <c r="N427" i="8"/>
  <c r="J426" i="8"/>
  <c r="J417" i="8"/>
  <c r="I419" i="8" s="1"/>
  <c r="J416" i="8"/>
  <c r="I418" i="8" s="1"/>
  <c r="J415" i="8"/>
  <c r="J414" i="8"/>
  <c r="J413" i="8"/>
  <c r="J412" i="8"/>
  <c r="I411" i="8"/>
  <c r="I410" i="8"/>
  <c r="I409" i="8"/>
  <c r="K408" i="8"/>
  <c r="K407" i="8"/>
  <c r="K406" i="8"/>
  <c r="K405" i="8"/>
  <c r="K404" i="8"/>
  <c r="K403" i="8"/>
  <c r="K402" i="8"/>
  <c r="J402" i="8"/>
  <c r="J392" i="8" s="1"/>
  <c r="K401" i="8"/>
  <c r="J401" i="8"/>
  <c r="K400" i="8"/>
  <c r="K399" i="8"/>
  <c r="K398" i="8"/>
  <c r="K397" i="8"/>
  <c r="K396" i="8"/>
  <c r="K395" i="8"/>
  <c r="K394" i="8"/>
  <c r="J394" i="8"/>
  <c r="K393" i="8"/>
  <c r="J393" i="8"/>
  <c r="J391" i="8" s="1"/>
  <c r="J390" i="8" s="1"/>
  <c r="I392" i="8"/>
  <c r="K392" i="8" s="1"/>
  <c r="K391" i="8"/>
  <c r="I391" i="8"/>
  <c r="I390" i="8"/>
  <c r="K390" i="8" s="1"/>
  <c r="K389" i="8"/>
  <c r="K388" i="8"/>
  <c r="K387" i="8"/>
  <c r="K386" i="8"/>
  <c r="K385" i="8"/>
  <c r="K384" i="8"/>
  <c r="K383" i="8"/>
  <c r="J383" i="8"/>
  <c r="K382" i="8"/>
  <c r="J382" i="8"/>
  <c r="K381" i="8"/>
  <c r="K380" i="8"/>
  <c r="K379" i="8"/>
  <c r="K378" i="8"/>
  <c r="J377" i="8"/>
  <c r="J376" i="8"/>
  <c r="K375" i="8"/>
  <c r="K374" i="8"/>
  <c r="K373" i="8"/>
  <c r="K372" i="8"/>
  <c r="K371" i="8"/>
  <c r="K370" i="8"/>
  <c r="J369" i="8"/>
  <c r="J368" i="8"/>
  <c r="K367" i="8"/>
  <c r="K366" i="8"/>
  <c r="K365" i="8"/>
  <c r="K364" i="8"/>
  <c r="K363" i="8"/>
  <c r="K362" i="8"/>
  <c r="J361" i="8"/>
  <c r="I361" i="8"/>
  <c r="J360" i="8"/>
  <c r="I360" i="8"/>
  <c r="K360" i="8" s="1"/>
  <c r="J359" i="8"/>
  <c r="J350" i="8" s="1"/>
  <c r="I359" i="8"/>
  <c r="I350" i="8" s="1"/>
  <c r="K350" i="8" s="1"/>
  <c r="M354" i="8"/>
  <c r="L354" i="8"/>
  <c r="N354" i="8" s="1"/>
  <c r="L353" i="8"/>
  <c r="M352" i="8"/>
  <c r="N351" i="8"/>
  <c r="M350" i="8"/>
  <c r="I347" i="8"/>
  <c r="K347" i="8" s="1"/>
  <c r="I346" i="8"/>
  <c r="K346" i="8" s="1"/>
  <c r="I345" i="8"/>
  <c r="J344" i="8"/>
  <c r="J330" i="8" s="1"/>
  <c r="M334" i="8"/>
  <c r="L334" i="8"/>
  <c r="L333" i="8"/>
  <c r="M332" i="8"/>
  <c r="M330" i="8" s="1"/>
  <c r="N331" i="8"/>
  <c r="I327" i="8"/>
  <c r="K327" i="8" s="1"/>
  <c r="I326" i="8"/>
  <c r="J325" i="8"/>
  <c r="I324" i="8"/>
  <c r="K324" i="8" s="1"/>
  <c r="I323" i="8"/>
  <c r="K323" i="8" s="1"/>
  <c r="I322" i="8"/>
  <c r="K322" i="8" s="1"/>
  <c r="J321" i="8"/>
  <c r="I321" i="8"/>
  <c r="K321" i="8" s="1"/>
  <c r="I320" i="8"/>
  <c r="K320" i="8" s="1"/>
  <c r="I319" i="8"/>
  <c r="I318" i="8"/>
  <c r="K318" i="8" s="1"/>
  <c r="I317" i="8"/>
  <c r="J316" i="8"/>
  <c r="I316" i="8"/>
  <c r="K316" i="8" s="1"/>
  <c r="I315" i="8"/>
  <c r="I314" i="8"/>
  <c r="K314" i="8" s="1"/>
  <c r="I313" i="8"/>
  <c r="J312" i="8"/>
  <c r="I312" i="8"/>
  <c r="J311" i="8"/>
  <c r="M301" i="8"/>
  <c r="M299" i="8" s="1"/>
  <c r="L301" i="8"/>
  <c r="N301" i="8" s="1"/>
  <c r="L300" i="8"/>
  <c r="N298" i="8"/>
  <c r="J297" i="8"/>
  <c r="M296" i="8"/>
  <c r="J296" i="8"/>
  <c r="I293" i="8"/>
  <c r="K293" i="8" s="1"/>
  <c r="I292" i="8"/>
  <c r="I291" i="8"/>
  <c r="K291" i="8" s="1"/>
  <c r="M280" i="8"/>
  <c r="L280" i="8"/>
  <c r="L279" i="8"/>
  <c r="N277" i="8"/>
  <c r="J276" i="8"/>
  <c r="I276" i="8"/>
  <c r="K276" i="8" s="1"/>
  <c r="J275" i="8"/>
  <c r="I272" i="8"/>
  <c r="K272" i="8" s="1"/>
  <c r="I271" i="8"/>
  <c r="K271" i="8" s="1"/>
  <c r="J270" i="8"/>
  <c r="I268" i="8"/>
  <c r="K268" i="8" s="1"/>
  <c r="I266" i="8"/>
  <c r="I264" i="8"/>
  <c r="K264" i="8" s="1"/>
  <c r="J263" i="8"/>
  <c r="I263" i="8"/>
  <c r="I267" i="8" s="1"/>
  <c r="K267" i="8" s="1"/>
  <c r="J262" i="8"/>
  <c r="I260" i="8"/>
  <c r="K260" i="8" s="1"/>
  <c r="M249" i="8"/>
  <c r="M247" i="8" s="1"/>
  <c r="L249" i="8"/>
  <c r="N249" i="8" s="1"/>
  <c r="L248" i="8"/>
  <c r="N246" i="8"/>
  <c r="M244" i="8"/>
  <c r="J244" i="8"/>
  <c r="K241" i="8"/>
  <c r="J241" i="8"/>
  <c r="J240" i="8"/>
  <c r="J228" i="8" s="1"/>
  <c r="I240" i="8"/>
  <c r="K240" i="8" s="1"/>
  <c r="K239" i="8"/>
  <c r="J239" i="8"/>
  <c r="J238" i="8"/>
  <c r="I238" i="8"/>
  <c r="K238" i="8" s="1"/>
  <c r="K237" i="8"/>
  <c r="J237" i="8"/>
  <c r="J236" i="8"/>
  <c r="I236" i="8"/>
  <c r="J235" i="8"/>
  <c r="I235" i="8"/>
  <c r="K235" i="8" s="1"/>
  <c r="K234" i="8"/>
  <c r="J234" i="8"/>
  <c r="L232" i="8"/>
  <c r="N232" i="8" s="1"/>
  <c r="L231" i="8"/>
  <c r="M230" i="8"/>
  <c r="N229" i="8"/>
  <c r="M228" i="8"/>
  <c r="I224" i="8"/>
  <c r="L218" i="8"/>
  <c r="N217" i="8"/>
  <c r="M216" i="8"/>
  <c r="N215" i="8"/>
  <c r="M214" i="8"/>
  <c r="J214" i="8"/>
  <c r="I211" i="8"/>
  <c r="K211" i="8" s="1"/>
  <c r="I209" i="8"/>
  <c r="I199" i="8" s="1"/>
  <c r="K199" i="8" s="1"/>
  <c r="L203" i="8"/>
  <c r="N203" i="8" s="1"/>
  <c r="N202" i="8"/>
  <c r="M201" i="8"/>
  <c r="N200" i="8"/>
  <c r="M199" i="8"/>
  <c r="J199" i="8"/>
  <c r="I195" i="8"/>
  <c r="L189" i="8"/>
  <c r="N189" i="8" s="1"/>
  <c r="L188" i="8"/>
  <c r="M187" i="8"/>
  <c r="N186" i="8"/>
  <c r="M185" i="8"/>
  <c r="J185" i="8"/>
  <c r="I182" i="8"/>
  <c r="K182" i="8" s="1"/>
  <c r="I181" i="8"/>
  <c r="K181" i="8" s="1"/>
  <c r="I180" i="8"/>
  <c r="I179" i="8"/>
  <c r="K179" i="8" s="1"/>
  <c r="L173" i="8"/>
  <c r="N173" i="8" s="1"/>
  <c r="L172" i="8"/>
  <c r="N172" i="8" s="1"/>
  <c r="M171" i="8"/>
  <c r="M169" i="8" s="1"/>
  <c r="N170" i="8"/>
  <c r="J169" i="8"/>
  <c r="K164" i="8"/>
  <c r="J158" i="8"/>
  <c r="I158" i="8"/>
  <c r="K158" i="8" s="1"/>
  <c r="I155" i="8"/>
  <c r="J149" i="8"/>
  <c r="L148" i="8"/>
  <c r="N147" i="8"/>
  <c r="M146" i="8"/>
  <c r="N145" i="8"/>
  <c r="M144" i="8"/>
  <c r="J144" i="8"/>
  <c r="L141" i="8"/>
  <c r="N141" i="8" s="1"/>
  <c r="I141" i="8"/>
  <c r="K141" i="8" s="1"/>
  <c r="L140" i="8"/>
  <c r="N140" i="8" s="1"/>
  <c r="I140" i="8"/>
  <c r="K140" i="8" s="1"/>
  <c r="L138" i="8"/>
  <c r="N138" i="8" s="1"/>
  <c r="I138" i="8"/>
  <c r="K138" i="8" s="1"/>
  <c r="L132" i="8"/>
  <c r="M131" i="8"/>
  <c r="N130" i="8"/>
  <c r="M129" i="8"/>
  <c r="J129" i="8"/>
  <c r="L126" i="8"/>
  <c r="N126" i="8" s="1"/>
  <c r="I126" i="8"/>
  <c r="L125" i="8"/>
  <c r="N125" i="8" s="1"/>
  <c r="I125" i="8"/>
  <c r="I124" i="8"/>
  <c r="K124" i="8" s="1"/>
  <c r="L117" i="8"/>
  <c r="M116" i="8"/>
  <c r="M114" i="8" s="1"/>
  <c r="N115" i="8"/>
  <c r="J114" i="8"/>
  <c r="L111" i="8"/>
  <c r="N111" i="8" s="1"/>
  <c r="I111" i="8"/>
  <c r="L110" i="8"/>
  <c r="N110" i="8" s="1"/>
  <c r="I110" i="8"/>
  <c r="K110" i="8" s="1"/>
  <c r="L104" i="8"/>
  <c r="M103" i="8"/>
  <c r="M101" i="8" s="1"/>
  <c r="N102" i="8"/>
  <c r="J101" i="8"/>
  <c r="L98" i="8"/>
  <c r="N98" i="8" s="1"/>
  <c r="I98" i="8"/>
  <c r="L92" i="8"/>
  <c r="M91" i="8"/>
  <c r="M89" i="8" s="1"/>
  <c r="N90" i="8"/>
  <c r="J89" i="8"/>
  <c r="J84" i="8"/>
  <c r="I83" i="8"/>
  <c r="L77" i="8"/>
  <c r="L76" i="8" s="1"/>
  <c r="M76" i="8"/>
  <c r="N75" i="8"/>
  <c r="M74" i="8"/>
  <c r="J74" i="8"/>
  <c r="M73" i="8"/>
  <c r="L72" i="8"/>
  <c r="N70" i="8"/>
  <c r="J68" i="8"/>
  <c r="I62" i="8"/>
  <c r="L56" i="8"/>
  <c r="N56" i="8" s="1"/>
  <c r="L55" i="8"/>
  <c r="M54" i="8"/>
  <c r="N53" i="8"/>
  <c r="M52" i="8"/>
  <c r="J52" i="8"/>
  <c r="I48" i="8"/>
  <c r="I47" i="8"/>
  <c r="K47" i="8" s="1"/>
  <c r="I46" i="8"/>
  <c r="K46" i="8" s="1"/>
  <c r="I45" i="8"/>
  <c r="K45" i="8" s="1"/>
  <c r="I44" i="8"/>
  <c r="I43" i="8"/>
  <c r="K43" i="8" s="1"/>
  <c r="L37" i="8"/>
  <c r="N37" i="8" s="1"/>
  <c r="L36" i="8"/>
  <c r="N36" i="8" s="1"/>
  <c r="M35" i="8"/>
  <c r="L35" i="8"/>
  <c r="N34" i="8"/>
  <c r="J33" i="8"/>
  <c r="M32" i="8"/>
  <c r="J32" i="8"/>
  <c r="I28" i="8"/>
  <c r="K28" i="8" s="1"/>
  <c r="I27" i="8"/>
  <c r="K27" i="8" s="1"/>
  <c r="I26" i="8"/>
  <c r="K26" i="8" s="1"/>
  <c r="I25" i="8"/>
  <c r="K25" i="8" s="1"/>
  <c r="I24" i="8"/>
  <c r="K24" i="8" s="1"/>
  <c r="I23" i="8"/>
  <c r="I22" i="8"/>
  <c r="J21" i="8"/>
  <c r="J10" i="8" s="1"/>
  <c r="J20" i="8"/>
  <c r="J9" i="8" s="1"/>
  <c r="L14" i="8"/>
  <c r="N14" i="8" s="1"/>
  <c r="L13" i="8"/>
  <c r="N13" i="8" s="1"/>
  <c r="M12" i="8"/>
  <c r="L12" i="8"/>
  <c r="N11" i="8"/>
  <c r="M9" i="8"/>
  <c r="J528" i="7"/>
  <c r="I528" i="7"/>
  <c r="J527" i="7"/>
  <c r="I527" i="7"/>
  <c r="J526" i="7"/>
  <c r="I526" i="7"/>
  <c r="K526" i="7" s="1"/>
  <c r="J525" i="7"/>
  <c r="I525" i="7"/>
  <c r="K525" i="7" s="1"/>
  <c r="J524" i="7"/>
  <c r="I524" i="7"/>
  <c r="J523" i="7"/>
  <c r="I523" i="7"/>
  <c r="J522" i="7"/>
  <c r="I522" i="7"/>
  <c r="J521" i="7"/>
  <c r="I521" i="7"/>
  <c r="J517" i="7"/>
  <c r="I517" i="7"/>
  <c r="J514" i="7"/>
  <c r="J513" i="7" s="1"/>
  <c r="I514" i="7"/>
  <c r="I513" i="7"/>
  <c r="K519" i="7" s="1"/>
  <c r="J510" i="7"/>
  <c r="I510" i="7"/>
  <c r="J504" i="7"/>
  <c r="I504" i="7"/>
  <c r="K512" i="7" s="1"/>
  <c r="M494" i="7"/>
  <c r="L494" i="7"/>
  <c r="L493" i="7"/>
  <c r="N491" i="7"/>
  <c r="J490" i="7"/>
  <c r="J489" i="7"/>
  <c r="I489" i="7"/>
  <c r="J488" i="7"/>
  <c r="J473" i="7" s="1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K482" i="7" s="1"/>
  <c r="M477" i="7"/>
  <c r="L477" i="7"/>
  <c r="N477" i="7" s="1"/>
  <c r="L476" i="7"/>
  <c r="N476" i="7" s="1"/>
  <c r="M475" i="7"/>
  <c r="N474" i="7"/>
  <c r="M473" i="7"/>
  <c r="K472" i="7"/>
  <c r="K471" i="7"/>
  <c r="K470" i="7"/>
  <c r="K469" i="7"/>
  <c r="K468" i="7"/>
  <c r="J466" i="7"/>
  <c r="I466" i="7"/>
  <c r="I457" i="7" s="1"/>
  <c r="K457" i="7" s="1"/>
  <c r="M461" i="7"/>
  <c r="M459" i="7" s="1"/>
  <c r="M457" i="7" s="1"/>
  <c r="L461" i="7"/>
  <c r="N461" i="7" s="1"/>
  <c r="L460" i="7"/>
  <c r="N458" i="7"/>
  <c r="J457" i="7"/>
  <c r="I456" i="7"/>
  <c r="K456" i="7" s="1"/>
  <c r="I455" i="7"/>
  <c r="I454" i="7"/>
  <c r="K454" i="7" s="1"/>
  <c r="I453" i="7"/>
  <c r="K453" i="7" s="1"/>
  <c r="M448" i="7"/>
  <c r="M446" i="7" s="1"/>
  <c r="M444" i="7" s="1"/>
  <c r="L448" i="7"/>
  <c r="N448" i="7" s="1"/>
  <c r="L447" i="7"/>
  <c r="N447" i="7" s="1"/>
  <c r="N445" i="7"/>
  <c r="J444" i="7"/>
  <c r="I441" i="7"/>
  <c r="K441" i="7" s="1"/>
  <c r="I440" i="7"/>
  <c r="I426" i="7" s="1"/>
  <c r="K426" i="7" s="1"/>
  <c r="M430" i="7"/>
  <c r="L430" i="7"/>
  <c r="L429" i="7"/>
  <c r="N429" i="7" s="1"/>
  <c r="M428" i="7"/>
  <c r="N427" i="7"/>
  <c r="M426" i="7"/>
  <c r="J426" i="7"/>
  <c r="J417" i="7"/>
  <c r="I419" i="7" s="1"/>
  <c r="J416" i="7"/>
  <c r="I418" i="7" s="1"/>
  <c r="J415" i="7"/>
  <c r="J414" i="7"/>
  <c r="J413" i="7"/>
  <c r="J412" i="7"/>
  <c r="I411" i="7"/>
  <c r="I410" i="7"/>
  <c r="I409" i="7"/>
  <c r="K408" i="7"/>
  <c r="K407" i="7"/>
  <c r="K406" i="7"/>
  <c r="K405" i="7"/>
  <c r="K404" i="7"/>
  <c r="K403" i="7"/>
  <c r="K402" i="7"/>
  <c r="J402" i="7"/>
  <c r="J392" i="7" s="1"/>
  <c r="K401" i="7"/>
  <c r="J401" i="7"/>
  <c r="K400" i="7"/>
  <c r="K399" i="7"/>
  <c r="K398" i="7"/>
  <c r="K397" i="7"/>
  <c r="K396" i="7"/>
  <c r="K395" i="7"/>
  <c r="K394" i="7"/>
  <c r="J394" i="7"/>
  <c r="K393" i="7"/>
  <c r="J393" i="7"/>
  <c r="I392" i="7"/>
  <c r="K392" i="7" s="1"/>
  <c r="J391" i="7"/>
  <c r="I391" i="7"/>
  <c r="I390" i="7"/>
  <c r="K389" i="7"/>
  <c r="K388" i="7"/>
  <c r="K387" i="7"/>
  <c r="K386" i="7"/>
  <c r="K385" i="7"/>
  <c r="K384" i="7"/>
  <c r="K383" i="7"/>
  <c r="J383" i="7"/>
  <c r="J377" i="7" s="1"/>
  <c r="K382" i="7"/>
  <c r="J382" i="7"/>
  <c r="K381" i="7"/>
  <c r="K380" i="7"/>
  <c r="K379" i="7"/>
  <c r="K378" i="7"/>
  <c r="J376" i="7"/>
  <c r="J359" i="7" s="1"/>
  <c r="J350" i="7" s="1"/>
  <c r="K375" i="7"/>
  <c r="K374" i="7"/>
  <c r="K373" i="7"/>
  <c r="K372" i="7"/>
  <c r="K371" i="7"/>
  <c r="K370" i="7"/>
  <c r="J369" i="7"/>
  <c r="J368" i="7"/>
  <c r="K367" i="7"/>
  <c r="K366" i="7"/>
  <c r="K365" i="7"/>
  <c r="K364" i="7"/>
  <c r="K363" i="7"/>
  <c r="K362" i="7"/>
  <c r="J361" i="7"/>
  <c r="I361" i="7"/>
  <c r="I377" i="7" s="1"/>
  <c r="K377" i="7" s="1"/>
  <c r="J360" i="7"/>
  <c r="I360" i="7"/>
  <c r="K360" i="7" s="1"/>
  <c r="I359" i="7"/>
  <c r="I350" i="7" s="1"/>
  <c r="K350" i="7" s="1"/>
  <c r="M354" i="7"/>
  <c r="M352" i="7" s="1"/>
  <c r="M350" i="7" s="1"/>
  <c r="L354" i="7"/>
  <c r="N354" i="7" s="1"/>
  <c r="L353" i="7"/>
  <c r="N351" i="7"/>
  <c r="I347" i="7"/>
  <c r="K347" i="7" s="1"/>
  <c r="I346" i="7"/>
  <c r="K346" i="7" s="1"/>
  <c r="I345" i="7"/>
  <c r="J344" i="7"/>
  <c r="M334" i="7"/>
  <c r="L334" i="7"/>
  <c r="N334" i="7" s="1"/>
  <c r="L333" i="7"/>
  <c r="M332" i="7"/>
  <c r="N331" i="7"/>
  <c r="M330" i="7"/>
  <c r="J330" i="7"/>
  <c r="I327" i="7"/>
  <c r="K327" i="7" s="1"/>
  <c r="I326" i="7"/>
  <c r="K326" i="7" s="1"/>
  <c r="J325" i="7"/>
  <c r="J325" i="1" s="1"/>
  <c r="I324" i="7"/>
  <c r="K324" i="7" s="1"/>
  <c r="I323" i="7"/>
  <c r="K323" i="7" s="1"/>
  <c r="I322" i="7"/>
  <c r="K322" i="7" s="1"/>
  <c r="J321" i="7"/>
  <c r="I321" i="7"/>
  <c r="K321" i="7" s="1"/>
  <c r="I320" i="7"/>
  <c r="K320" i="7" s="1"/>
  <c r="I319" i="7"/>
  <c r="K319" i="7" s="1"/>
  <c r="I318" i="7"/>
  <c r="K318" i="7" s="1"/>
  <c r="I317" i="7"/>
  <c r="K317" i="7" s="1"/>
  <c r="J316" i="7"/>
  <c r="I316" i="7"/>
  <c r="I315" i="7"/>
  <c r="K315" i="7" s="1"/>
  <c r="I314" i="7"/>
  <c r="K314" i="7" s="1"/>
  <c r="I313" i="7"/>
  <c r="J312" i="7"/>
  <c r="I312" i="7"/>
  <c r="K312" i="7" s="1"/>
  <c r="M301" i="7"/>
  <c r="L301" i="7"/>
  <c r="N301" i="7" s="1"/>
  <c r="L300" i="7"/>
  <c r="N300" i="7" s="1"/>
  <c r="M299" i="7"/>
  <c r="M296" i="7" s="1"/>
  <c r="N298" i="7"/>
  <c r="J296" i="7"/>
  <c r="I293" i="7"/>
  <c r="K293" i="7" s="1"/>
  <c r="I292" i="7"/>
  <c r="I291" i="7"/>
  <c r="I276" i="7" s="1"/>
  <c r="M280" i="7"/>
  <c r="L280" i="7"/>
  <c r="N280" i="7" s="1"/>
  <c r="L279" i="7"/>
  <c r="N279" i="7" s="1"/>
  <c r="M278" i="7"/>
  <c r="M275" i="7" s="1"/>
  <c r="N277" i="7"/>
  <c r="J276" i="7"/>
  <c r="J275" i="7"/>
  <c r="I272" i="7"/>
  <c r="K272" i="7" s="1"/>
  <c r="I271" i="7"/>
  <c r="K271" i="7" s="1"/>
  <c r="J270" i="7"/>
  <c r="I268" i="7"/>
  <c r="K268" i="7" s="1"/>
  <c r="I266" i="7"/>
  <c r="K266" i="7" s="1"/>
  <c r="I264" i="7"/>
  <c r="J263" i="7"/>
  <c r="I263" i="7"/>
  <c r="I267" i="7" s="1"/>
  <c r="K267" i="7" s="1"/>
  <c r="J262" i="7"/>
  <c r="I260" i="7"/>
  <c r="K260" i="7" s="1"/>
  <c r="J259" i="7"/>
  <c r="M249" i="7"/>
  <c r="L249" i="7"/>
  <c r="N249" i="7" s="1"/>
  <c r="L248" i="7"/>
  <c r="N248" i="7" s="1"/>
  <c r="M247" i="7"/>
  <c r="M244" i="7" s="1"/>
  <c r="N246" i="7"/>
  <c r="J245" i="7"/>
  <c r="J244" i="7"/>
  <c r="K241" i="7"/>
  <c r="J241" i="7"/>
  <c r="J240" i="7"/>
  <c r="J228" i="7" s="1"/>
  <c r="I240" i="7"/>
  <c r="K239" i="7"/>
  <c r="J239" i="7"/>
  <c r="J238" i="7"/>
  <c r="I238" i="7"/>
  <c r="K237" i="7"/>
  <c r="J237" i="7"/>
  <c r="J236" i="7"/>
  <c r="I236" i="7"/>
  <c r="I228" i="7" s="1"/>
  <c r="J235" i="7"/>
  <c r="I235" i="7"/>
  <c r="K234" i="7"/>
  <c r="J234" i="7"/>
  <c r="L232" i="7"/>
  <c r="N232" i="7" s="1"/>
  <c r="L231" i="7"/>
  <c r="N231" i="7" s="1"/>
  <c r="M230" i="7"/>
  <c r="N229" i="7"/>
  <c r="M228" i="7"/>
  <c r="I224" i="7"/>
  <c r="K224" i="7" s="1"/>
  <c r="L218" i="7"/>
  <c r="N218" i="7" s="1"/>
  <c r="N217" i="7"/>
  <c r="M216" i="7"/>
  <c r="N215" i="7"/>
  <c r="M214" i="7"/>
  <c r="J214" i="7"/>
  <c r="I211" i="7"/>
  <c r="K211" i="7" s="1"/>
  <c r="I209" i="7"/>
  <c r="L203" i="7"/>
  <c r="N203" i="7" s="1"/>
  <c r="N202" i="7"/>
  <c r="M201" i="7"/>
  <c r="N200" i="7"/>
  <c r="M199" i="7"/>
  <c r="J199" i="7"/>
  <c r="I195" i="7"/>
  <c r="L189" i="7"/>
  <c r="N189" i="7" s="1"/>
  <c r="L188" i="7"/>
  <c r="N188" i="7" s="1"/>
  <c r="M187" i="7"/>
  <c r="M185" i="7" s="1"/>
  <c r="N186" i="7"/>
  <c r="J185" i="7"/>
  <c r="I182" i="7"/>
  <c r="K182" i="7" s="1"/>
  <c r="I181" i="7"/>
  <c r="K181" i="7" s="1"/>
  <c r="I180" i="7"/>
  <c r="K180" i="7" s="1"/>
  <c r="I179" i="7"/>
  <c r="K179" i="7" s="1"/>
  <c r="L173" i="7"/>
  <c r="N173" i="7" s="1"/>
  <c r="L172" i="7"/>
  <c r="M171" i="7"/>
  <c r="N170" i="7"/>
  <c r="M169" i="7"/>
  <c r="J169" i="7"/>
  <c r="K164" i="7"/>
  <c r="K158" i="7"/>
  <c r="J158" i="7"/>
  <c r="I158" i="7"/>
  <c r="I155" i="7"/>
  <c r="J149" i="7"/>
  <c r="L148" i="7"/>
  <c r="N147" i="7"/>
  <c r="M146" i="7"/>
  <c r="N145" i="7"/>
  <c r="M144" i="7"/>
  <c r="J144" i="7"/>
  <c r="L141" i="7"/>
  <c r="N141" i="7" s="1"/>
  <c r="I141" i="7"/>
  <c r="K141" i="7" s="1"/>
  <c r="L140" i="7"/>
  <c r="N140" i="7" s="1"/>
  <c r="I140" i="7"/>
  <c r="K140" i="7" s="1"/>
  <c r="L138" i="7"/>
  <c r="N138" i="7" s="1"/>
  <c r="I138" i="7"/>
  <c r="L132" i="7"/>
  <c r="N132" i="7" s="1"/>
  <c r="M131" i="7"/>
  <c r="M129" i="7" s="1"/>
  <c r="N130" i="7"/>
  <c r="J129" i="7"/>
  <c r="L126" i="7"/>
  <c r="N126" i="7" s="1"/>
  <c r="I126" i="7"/>
  <c r="K126" i="7" s="1"/>
  <c r="L125" i="7"/>
  <c r="N125" i="7" s="1"/>
  <c r="I125" i="7"/>
  <c r="I124" i="7"/>
  <c r="K124" i="7" s="1"/>
  <c r="L117" i="7"/>
  <c r="M116" i="7"/>
  <c r="N115" i="7"/>
  <c r="M114" i="7"/>
  <c r="J114" i="7"/>
  <c r="L111" i="7"/>
  <c r="N111" i="7" s="1"/>
  <c r="I111" i="7"/>
  <c r="K111" i="7" s="1"/>
  <c r="L110" i="7"/>
  <c r="N110" i="7" s="1"/>
  <c r="I110" i="7"/>
  <c r="K110" i="7" s="1"/>
  <c r="L104" i="7"/>
  <c r="M103" i="7"/>
  <c r="N102" i="7"/>
  <c r="M101" i="7"/>
  <c r="J101" i="7"/>
  <c r="L98" i="7"/>
  <c r="N98" i="7" s="1"/>
  <c r="I98" i="7"/>
  <c r="K98" i="7" s="1"/>
  <c r="L92" i="7"/>
  <c r="M91" i="7"/>
  <c r="N90" i="7"/>
  <c r="M89" i="7"/>
  <c r="J89" i="7"/>
  <c r="J84" i="7"/>
  <c r="I83" i="7"/>
  <c r="K83" i="7" s="1"/>
  <c r="L77" i="7"/>
  <c r="N77" i="7" s="1"/>
  <c r="M76" i="7"/>
  <c r="N75" i="7"/>
  <c r="M74" i="7"/>
  <c r="J74" i="7"/>
  <c r="M73" i="7"/>
  <c r="L72" i="7"/>
  <c r="N72" i="7" s="1"/>
  <c r="M71" i="7"/>
  <c r="N70" i="7"/>
  <c r="M68" i="7"/>
  <c r="J68" i="7"/>
  <c r="I62" i="7"/>
  <c r="L56" i="7"/>
  <c r="N56" i="7" s="1"/>
  <c r="L55" i="7"/>
  <c r="M54" i="7"/>
  <c r="N53" i="7"/>
  <c r="M52" i="7"/>
  <c r="J52" i="7"/>
  <c r="I48" i="7"/>
  <c r="I47" i="7"/>
  <c r="K47" i="7" s="1"/>
  <c r="I46" i="7"/>
  <c r="K46" i="7" s="1"/>
  <c r="I45" i="7"/>
  <c r="K45" i="7" s="1"/>
  <c r="I44" i="7"/>
  <c r="I43" i="7"/>
  <c r="K43" i="7" s="1"/>
  <c r="L37" i="7"/>
  <c r="N37" i="7" s="1"/>
  <c r="L36" i="7"/>
  <c r="N36" i="7" s="1"/>
  <c r="M35" i="7"/>
  <c r="M32" i="7" s="1"/>
  <c r="L35" i="7"/>
  <c r="N35" i="7" s="1"/>
  <c r="N34" i="7"/>
  <c r="J33" i="7"/>
  <c r="J32" i="7"/>
  <c r="I28" i="7"/>
  <c r="K28" i="7" s="1"/>
  <c r="I27" i="7"/>
  <c r="I26" i="7"/>
  <c r="K26" i="7" s="1"/>
  <c r="I25" i="7"/>
  <c r="K25" i="7" s="1"/>
  <c r="I24" i="7"/>
  <c r="K24" i="7" s="1"/>
  <c r="I23" i="7"/>
  <c r="K23" i="7" s="1"/>
  <c r="I22" i="7"/>
  <c r="K22" i="7" s="1"/>
  <c r="J21" i="7"/>
  <c r="J10" i="7" s="1"/>
  <c r="J20" i="7"/>
  <c r="L14" i="7"/>
  <c r="N14" i="7" s="1"/>
  <c r="L13" i="7"/>
  <c r="N13" i="7" s="1"/>
  <c r="M12" i="7"/>
  <c r="L12" i="7"/>
  <c r="N11" i="7"/>
  <c r="M9" i="7"/>
  <c r="J9" i="7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17" i="6"/>
  <c r="I517" i="6"/>
  <c r="J514" i="6"/>
  <c r="J513" i="6" s="1"/>
  <c r="I514" i="6"/>
  <c r="I513" i="6"/>
  <c r="K519" i="6" s="1"/>
  <c r="J510" i="6"/>
  <c r="I510" i="6"/>
  <c r="I504" i="6"/>
  <c r="K509" i="6" s="1"/>
  <c r="M494" i="6"/>
  <c r="L494" i="6"/>
  <c r="N494" i="6" s="1"/>
  <c r="L493" i="6"/>
  <c r="N493" i="6" s="1"/>
  <c r="M492" i="6"/>
  <c r="M490" i="6" s="1"/>
  <c r="N491" i="6"/>
  <c r="J489" i="6"/>
  <c r="I489" i="6"/>
  <c r="K489" i="6" s="1"/>
  <c r="J488" i="6"/>
  <c r="J473" i="6" s="1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K482" i="6" s="1"/>
  <c r="M477" i="6"/>
  <c r="L477" i="6"/>
  <c r="N477" i="6" s="1"/>
  <c r="L476" i="6"/>
  <c r="N476" i="6" s="1"/>
  <c r="M475" i="6"/>
  <c r="N474" i="6"/>
  <c r="M473" i="6"/>
  <c r="K472" i="6"/>
  <c r="K471" i="6"/>
  <c r="K470" i="6"/>
  <c r="K469" i="6"/>
  <c r="K468" i="6"/>
  <c r="J466" i="6"/>
  <c r="I466" i="6"/>
  <c r="I457" i="6" s="1"/>
  <c r="K457" i="6" s="1"/>
  <c r="M461" i="6"/>
  <c r="L461" i="6"/>
  <c r="N461" i="6" s="1"/>
  <c r="L460" i="6"/>
  <c r="M459" i="6"/>
  <c r="N458" i="6"/>
  <c r="M457" i="6"/>
  <c r="J457" i="6"/>
  <c r="I456" i="6"/>
  <c r="K456" i="6" s="1"/>
  <c r="I455" i="6"/>
  <c r="I454" i="6"/>
  <c r="K454" i="6" s="1"/>
  <c r="I453" i="6"/>
  <c r="K453" i="6" s="1"/>
  <c r="M448" i="6"/>
  <c r="L448" i="6"/>
  <c r="N448" i="6" s="1"/>
  <c r="L447" i="6"/>
  <c r="N447" i="6" s="1"/>
  <c r="N445" i="6"/>
  <c r="J444" i="6"/>
  <c r="I441" i="6"/>
  <c r="K441" i="6" s="1"/>
  <c r="I440" i="6"/>
  <c r="K440" i="6" s="1"/>
  <c r="M430" i="6"/>
  <c r="L430" i="6"/>
  <c r="N430" i="6" s="1"/>
  <c r="L429" i="6"/>
  <c r="N429" i="6" s="1"/>
  <c r="M428" i="6"/>
  <c r="N427" i="6"/>
  <c r="M426" i="6"/>
  <c r="J426" i="6"/>
  <c r="J417" i="6"/>
  <c r="I419" i="6" s="1"/>
  <c r="J416" i="6"/>
  <c r="I418" i="6" s="1"/>
  <c r="J415" i="6"/>
  <c r="J414" i="6"/>
  <c r="J413" i="6"/>
  <c r="J412" i="6"/>
  <c r="I411" i="6"/>
  <c r="I410" i="6"/>
  <c r="I409" i="6"/>
  <c r="K408" i="6"/>
  <c r="K407" i="6"/>
  <c r="K406" i="6"/>
  <c r="K405" i="6"/>
  <c r="K404" i="6"/>
  <c r="K403" i="6"/>
  <c r="K402" i="6"/>
  <c r="J402" i="6"/>
  <c r="J392" i="6" s="1"/>
  <c r="K401" i="6"/>
  <c r="J401" i="6"/>
  <c r="K400" i="6"/>
  <c r="K399" i="6"/>
  <c r="K398" i="6"/>
  <c r="K397" i="6"/>
  <c r="K396" i="6"/>
  <c r="K395" i="6"/>
  <c r="K394" i="6"/>
  <c r="J394" i="6"/>
  <c r="K393" i="6"/>
  <c r="J393" i="6"/>
  <c r="I392" i="6"/>
  <c r="J391" i="6"/>
  <c r="I391" i="6"/>
  <c r="I390" i="6"/>
  <c r="K389" i="6"/>
  <c r="K388" i="6"/>
  <c r="K387" i="6"/>
  <c r="K386" i="6"/>
  <c r="K385" i="6"/>
  <c r="K384" i="6"/>
  <c r="K383" i="6"/>
  <c r="J383" i="6"/>
  <c r="K382" i="6"/>
  <c r="J382" i="6"/>
  <c r="K381" i="6"/>
  <c r="K380" i="6"/>
  <c r="K379" i="6"/>
  <c r="K378" i="6"/>
  <c r="J377" i="6"/>
  <c r="J376" i="6"/>
  <c r="J359" i="6" s="1"/>
  <c r="J350" i="6" s="1"/>
  <c r="K375" i="6"/>
  <c r="K374" i="6"/>
  <c r="K373" i="6"/>
  <c r="K372" i="6"/>
  <c r="K371" i="6"/>
  <c r="K370" i="6"/>
  <c r="J369" i="6"/>
  <c r="J368" i="6"/>
  <c r="K367" i="6"/>
  <c r="K366" i="6"/>
  <c r="K365" i="6"/>
  <c r="K364" i="6"/>
  <c r="K363" i="6"/>
  <c r="K362" i="6"/>
  <c r="J361" i="6"/>
  <c r="I361" i="6"/>
  <c r="I377" i="6" s="1"/>
  <c r="J360" i="6"/>
  <c r="I360" i="6"/>
  <c r="K360" i="6" s="1"/>
  <c r="I359" i="6"/>
  <c r="M354" i="6"/>
  <c r="L354" i="6"/>
  <c r="N354" i="6" s="1"/>
  <c r="L353" i="6"/>
  <c r="M352" i="6"/>
  <c r="N351" i="6"/>
  <c r="M350" i="6"/>
  <c r="I347" i="6"/>
  <c r="K347" i="6" s="1"/>
  <c r="I346" i="6"/>
  <c r="K346" i="6" s="1"/>
  <c r="I345" i="6"/>
  <c r="J344" i="6"/>
  <c r="M334" i="6"/>
  <c r="L334" i="6"/>
  <c r="N334" i="6" s="1"/>
  <c r="L333" i="6"/>
  <c r="M332" i="6"/>
  <c r="N331" i="6"/>
  <c r="M330" i="6"/>
  <c r="J330" i="6"/>
  <c r="I327" i="6"/>
  <c r="K327" i="6" s="1"/>
  <c r="I326" i="6"/>
  <c r="K326" i="6" s="1"/>
  <c r="J325" i="6"/>
  <c r="I324" i="6"/>
  <c r="K324" i="6" s="1"/>
  <c r="I323" i="6"/>
  <c r="K323" i="6" s="1"/>
  <c r="I322" i="6"/>
  <c r="K322" i="6" s="1"/>
  <c r="J321" i="6"/>
  <c r="I321" i="6"/>
  <c r="K321" i="6" s="1"/>
  <c r="I320" i="6"/>
  <c r="K320" i="6" s="1"/>
  <c r="I319" i="6"/>
  <c r="K319" i="6" s="1"/>
  <c r="I318" i="6"/>
  <c r="K318" i="6" s="1"/>
  <c r="I317" i="6"/>
  <c r="K317" i="6" s="1"/>
  <c r="J316" i="6"/>
  <c r="I316" i="6"/>
  <c r="I315" i="6"/>
  <c r="K315" i="6" s="1"/>
  <c r="I314" i="6"/>
  <c r="K314" i="6" s="1"/>
  <c r="I313" i="6"/>
  <c r="K313" i="6" s="1"/>
  <c r="J312" i="6"/>
  <c r="I312" i="6"/>
  <c r="M301" i="6"/>
  <c r="L301" i="6"/>
  <c r="N301" i="6" s="1"/>
  <c r="L300" i="6"/>
  <c r="N300" i="6" s="1"/>
  <c r="M299" i="6"/>
  <c r="M296" i="6" s="1"/>
  <c r="N298" i="6"/>
  <c r="J296" i="6"/>
  <c r="I293" i="6"/>
  <c r="K293" i="6" s="1"/>
  <c r="I292" i="6"/>
  <c r="K292" i="6" s="1"/>
  <c r="I291" i="6"/>
  <c r="K291" i="6" s="1"/>
  <c r="M280" i="6"/>
  <c r="L280" i="6"/>
  <c r="N280" i="6" s="1"/>
  <c r="L279" i="6"/>
  <c r="N279" i="6" s="1"/>
  <c r="M278" i="6"/>
  <c r="M275" i="6" s="1"/>
  <c r="N277" i="6"/>
  <c r="J276" i="6"/>
  <c r="J275" i="6"/>
  <c r="I272" i="6"/>
  <c r="K272" i="6" s="1"/>
  <c r="I271" i="6"/>
  <c r="K271" i="6" s="1"/>
  <c r="J270" i="6"/>
  <c r="I268" i="6"/>
  <c r="K268" i="6" s="1"/>
  <c r="I266" i="6"/>
  <c r="K266" i="6" s="1"/>
  <c r="I264" i="6"/>
  <c r="J263" i="6"/>
  <c r="I263" i="6"/>
  <c r="I267" i="6" s="1"/>
  <c r="K267" i="6" s="1"/>
  <c r="J262" i="6"/>
  <c r="I260" i="6"/>
  <c r="K260" i="6" s="1"/>
  <c r="J259" i="6"/>
  <c r="M249" i="6"/>
  <c r="L249" i="6"/>
  <c r="N249" i="6" s="1"/>
  <c r="L248" i="6"/>
  <c r="N248" i="6" s="1"/>
  <c r="M247" i="6"/>
  <c r="M244" i="6" s="1"/>
  <c r="N246" i="6"/>
  <c r="J245" i="6"/>
  <c r="J244" i="6"/>
  <c r="K241" i="6"/>
  <c r="J241" i="6"/>
  <c r="J240" i="6"/>
  <c r="J228" i="6" s="1"/>
  <c r="I240" i="6"/>
  <c r="K239" i="6"/>
  <c r="J239" i="6"/>
  <c r="J238" i="6"/>
  <c r="I238" i="6"/>
  <c r="K237" i="6"/>
  <c r="J237" i="6"/>
  <c r="J236" i="6"/>
  <c r="I236" i="6"/>
  <c r="I228" i="6" s="1"/>
  <c r="J235" i="6"/>
  <c r="I235" i="6"/>
  <c r="K234" i="6"/>
  <c r="J234" i="6"/>
  <c r="L232" i="6"/>
  <c r="N232" i="6" s="1"/>
  <c r="L231" i="6"/>
  <c r="N231" i="6" s="1"/>
  <c r="M230" i="6"/>
  <c r="M228" i="6" s="1"/>
  <c r="N229" i="6"/>
  <c r="I224" i="6"/>
  <c r="L218" i="6"/>
  <c r="N218" i="6" s="1"/>
  <c r="N217" i="6"/>
  <c r="M216" i="6"/>
  <c r="N215" i="6"/>
  <c r="M214" i="6"/>
  <c r="J214" i="6"/>
  <c r="I211" i="6"/>
  <c r="K211" i="6" s="1"/>
  <c r="I209" i="6"/>
  <c r="K209" i="6" s="1"/>
  <c r="L203" i="6"/>
  <c r="N203" i="6" s="1"/>
  <c r="N202" i="6"/>
  <c r="M201" i="6"/>
  <c r="N200" i="6"/>
  <c r="M199" i="6"/>
  <c r="J199" i="6"/>
  <c r="I195" i="6"/>
  <c r="K195" i="6" s="1"/>
  <c r="L189" i="6"/>
  <c r="N189" i="6" s="1"/>
  <c r="L188" i="6"/>
  <c r="N188" i="6" s="1"/>
  <c r="M187" i="6"/>
  <c r="N186" i="6"/>
  <c r="M185" i="6"/>
  <c r="J185" i="6"/>
  <c r="I182" i="6"/>
  <c r="K182" i="6" s="1"/>
  <c r="I181" i="6"/>
  <c r="K181" i="6" s="1"/>
  <c r="I180" i="6"/>
  <c r="I179" i="6"/>
  <c r="K179" i="6" s="1"/>
  <c r="L173" i="6"/>
  <c r="N173" i="6" s="1"/>
  <c r="L172" i="6"/>
  <c r="M171" i="6"/>
  <c r="N170" i="6"/>
  <c r="M169" i="6"/>
  <c r="J169" i="6"/>
  <c r="K164" i="6"/>
  <c r="K158" i="6"/>
  <c r="J158" i="6"/>
  <c r="I158" i="6"/>
  <c r="I155" i="6"/>
  <c r="J149" i="6"/>
  <c r="L148" i="6"/>
  <c r="N148" i="6" s="1"/>
  <c r="N147" i="6"/>
  <c r="M146" i="6"/>
  <c r="N145" i="6"/>
  <c r="J144" i="6"/>
  <c r="L141" i="6"/>
  <c r="N141" i="6" s="1"/>
  <c r="I141" i="6"/>
  <c r="K141" i="6" s="1"/>
  <c r="L140" i="6"/>
  <c r="N140" i="6" s="1"/>
  <c r="I140" i="6"/>
  <c r="K140" i="6" s="1"/>
  <c r="L138" i="6"/>
  <c r="N138" i="6" s="1"/>
  <c r="I138" i="6"/>
  <c r="L132" i="6"/>
  <c r="N132" i="6" s="1"/>
  <c r="M131" i="6"/>
  <c r="N130" i="6"/>
  <c r="M129" i="6"/>
  <c r="J129" i="6"/>
  <c r="L126" i="6"/>
  <c r="N126" i="6" s="1"/>
  <c r="I126" i="6"/>
  <c r="K126" i="6" s="1"/>
  <c r="L125" i="6"/>
  <c r="N125" i="6" s="1"/>
  <c r="I125" i="6"/>
  <c r="I124" i="6"/>
  <c r="K124" i="6" s="1"/>
  <c r="L117" i="6"/>
  <c r="M116" i="6"/>
  <c r="N115" i="6"/>
  <c r="M114" i="6"/>
  <c r="J114" i="6"/>
  <c r="L111" i="6"/>
  <c r="N111" i="6" s="1"/>
  <c r="I111" i="6"/>
  <c r="K111" i="6" s="1"/>
  <c r="L110" i="6"/>
  <c r="N110" i="6" s="1"/>
  <c r="I110" i="6"/>
  <c r="K110" i="6" s="1"/>
  <c r="L104" i="6"/>
  <c r="M103" i="6"/>
  <c r="N102" i="6"/>
  <c r="M101" i="6"/>
  <c r="J101" i="6"/>
  <c r="L98" i="6"/>
  <c r="N98" i="6" s="1"/>
  <c r="I98" i="6"/>
  <c r="L92" i="6"/>
  <c r="M91" i="6"/>
  <c r="N90" i="6"/>
  <c r="M89" i="6"/>
  <c r="J89" i="6"/>
  <c r="J84" i="6"/>
  <c r="I83" i="6"/>
  <c r="L77" i="6"/>
  <c r="N77" i="6" s="1"/>
  <c r="M76" i="6"/>
  <c r="N75" i="6"/>
  <c r="M74" i="6"/>
  <c r="J74" i="6"/>
  <c r="M73" i="6"/>
  <c r="L72" i="6"/>
  <c r="N72" i="6" s="1"/>
  <c r="M71" i="6"/>
  <c r="M68" i="6" s="1"/>
  <c r="N70" i="6"/>
  <c r="J68" i="6"/>
  <c r="I62" i="6"/>
  <c r="L56" i="6"/>
  <c r="N56" i="6" s="1"/>
  <c r="L55" i="6"/>
  <c r="M54" i="6"/>
  <c r="N53" i="6"/>
  <c r="M52" i="6"/>
  <c r="J52" i="6"/>
  <c r="I48" i="6"/>
  <c r="I47" i="6"/>
  <c r="K47" i="6" s="1"/>
  <c r="I46" i="6"/>
  <c r="K46" i="6" s="1"/>
  <c r="I45" i="6"/>
  <c r="K45" i="6" s="1"/>
  <c r="I44" i="6"/>
  <c r="I43" i="6"/>
  <c r="K43" i="6" s="1"/>
  <c r="L37" i="6"/>
  <c r="N37" i="6" s="1"/>
  <c r="L36" i="6"/>
  <c r="N36" i="6" s="1"/>
  <c r="M35" i="6"/>
  <c r="M32" i="6" s="1"/>
  <c r="L35" i="6"/>
  <c r="N35" i="6" s="1"/>
  <c r="N34" i="6"/>
  <c r="J33" i="6"/>
  <c r="J32" i="6"/>
  <c r="I28" i="6"/>
  <c r="K28" i="6" s="1"/>
  <c r="I27" i="6"/>
  <c r="I26" i="6"/>
  <c r="K26" i="6" s="1"/>
  <c r="I25" i="6"/>
  <c r="K25" i="6" s="1"/>
  <c r="I24" i="6"/>
  <c r="K24" i="6" s="1"/>
  <c r="I23" i="6"/>
  <c r="K23" i="6" s="1"/>
  <c r="I22" i="6"/>
  <c r="K22" i="6" s="1"/>
  <c r="J21" i="6"/>
  <c r="J10" i="6" s="1"/>
  <c r="J20" i="6"/>
  <c r="L14" i="6"/>
  <c r="N14" i="6" s="1"/>
  <c r="L13" i="6"/>
  <c r="N13" i="6" s="1"/>
  <c r="M12" i="6"/>
  <c r="L12" i="6"/>
  <c r="N11" i="6"/>
  <c r="M9" i="6"/>
  <c r="J9" i="6"/>
  <c r="J528" i="5"/>
  <c r="I528" i="5"/>
  <c r="J527" i="5"/>
  <c r="I527" i="5"/>
  <c r="J526" i="5"/>
  <c r="I526" i="5"/>
  <c r="K526" i="5" s="1"/>
  <c r="J525" i="5"/>
  <c r="I525" i="5"/>
  <c r="K525" i="5" s="1"/>
  <c r="J524" i="5"/>
  <c r="I524" i="5"/>
  <c r="J523" i="5"/>
  <c r="I523" i="5"/>
  <c r="J522" i="5"/>
  <c r="I522" i="5"/>
  <c r="J521" i="5"/>
  <c r="I521" i="5"/>
  <c r="J517" i="5"/>
  <c r="I517" i="5"/>
  <c r="J514" i="5"/>
  <c r="J513" i="5" s="1"/>
  <c r="I514" i="5"/>
  <c r="I513" i="5"/>
  <c r="K519" i="5" s="1"/>
  <c r="J510" i="5"/>
  <c r="I510" i="5"/>
  <c r="J504" i="5"/>
  <c r="I504" i="5"/>
  <c r="K512" i="5" s="1"/>
  <c r="M494" i="5"/>
  <c r="L494" i="5"/>
  <c r="N494" i="5" s="1"/>
  <c r="L493" i="5"/>
  <c r="N493" i="5" s="1"/>
  <c r="M492" i="5"/>
  <c r="N491" i="5"/>
  <c r="M490" i="5"/>
  <c r="J489" i="5"/>
  <c r="I489" i="5"/>
  <c r="K489" i="5" s="1"/>
  <c r="J488" i="5"/>
  <c r="J473" i="5" s="1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J483" i="5"/>
  <c r="I483" i="5"/>
  <c r="K483" i="5" s="1"/>
  <c r="J482" i="5"/>
  <c r="I482" i="5"/>
  <c r="K482" i="5" s="1"/>
  <c r="M477" i="5"/>
  <c r="L477" i="5"/>
  <c r="N477" i="5" s="1"/>
  <c r="L476" i="5"/>
  <c r="M475" i="5"/>
  <c r="N474" i="5"/>
  <c r="M473" i="5"/>
  <c r="K472" i="5"/>
  <c r="K471" i="5"/>
  <c r="K470" i="5"/>
  <c r="K469" i="5"/>
  <c r="K468" i="5"/>
  <c r="J466" i="5"/>
  <c r="I466" i="5"/>
  <c r="I457" i="5" s="1"/>
  <c r="K457" i="5" s="1"/>
  <c r="M461" i="5"/>
  <c r="L461" i="5"/>
  <c r="N461" i="5" s="1"/>
  <c r="L460" i="5"/>
  <c r="M459" i="5"/>
  <c r="N458" i="5"/>
  <c r="M457" i="5"/>
  <c r="J457" i="5"/>
  <c r="I456" i="5"/>
  <c r="K456" i="5" s="1"/>
  <c r="I455" i="5"/>
  <c r="K455" i="5" s="1"/>
  <c r="I454" i="5"/>
  <c r="K454" i="5" s="1"/>
  <c r="I453" i="5"/>
  <c r="K453" i="5" s="1"/>
  <c r="M448" i="5"/>
  <c r="M446" i="5" s="1"/>
  <c r="M444" i="5" s="1"/>
  <c r="L448" i="5"/>
  <c r="N448" i="5" s="1"/>
  <c r="L447" i="5"/>
  <c r="N447" i="5" s="1"/>
  <c r="N445" i="5"/>
  <c r="J444" i="5"/>
  <c r="I441" i="5"/>
  <c r="K441" i="5" s="1"/>
  <c r="I440" i="5"/>
  <c r="I426" i="5" s="1"/>
  <c r="K426" i="5" s="1"/>
  <c r="M430" i="5"/>
  <c r="L430" i="5"/>
  <c r="N430" i="5" s="1"/>
  <c r="L429" i="5"/>
  <c r="N429" i="5" s="1"/>
  <c r="M428" i="5"/>
  <c r="N427" i="5"/>
  <c r="M426" i="5"/>
  <c r="J426" i="5"/>
  <c r="J417" i="5"/>
  <c r="I419" i="5" s="1"/>
  <c r="J416" i="5"/>
  <c r="I418" i="5" s="1"/>
  <c r="J415" i="5"/>
  <c r="J414" i="5"/>
  <c r="J413" i="5"/>
  <c r="J412" i="5"/>
  <c r="I411" i="5"/>
  <c r="I410" i="5"/>
  <c r="I409" i="5"/>
  <c r="K408" i="5"/>
  <c r="K407" i="5"/>
  <c r="K406" i="5"/>
  <c r="K405" i="5"/>
  <c r="K404" i="5"/>
  <c r="K403" i="5"/>
  <c r="K402" i="5"/>
  <c r="J402" i="5"/>
  <c r="J392" i="5" s="1"/>
  <c r="K401" i="5"/>
  <c r="J401" i="5"/>
  <c r="K400" i="5"/>
  <c r="K399" i="5"/>
  <c r="K398" i="5"/>
  <c r="K397" i="5"/>
  <c r="K396" i="5"/>
  <c r="K395" i="5"/>
  <c r="K394" i="5"/>
  <c r="J394" i="5"/>
  <c r="K393" i="5"/>
  <c r="J393" i="5"/>
  <c r="I392" i="5"/>
  <c r="J391" i="5"/>
  <c r="I391" i="5"/>
  <c r="I390" i="5"/>
  <c r="K389" i="5"/>
  <c r="K388" i="5"/>
  <c r="K387" i="5"/>
  <c r="K386" i="5"/>
  <c r="K385" i="5"/>
  <c r="K384" i="5"/>
  <c r="K383" i="5"/>
  <c r="J383" i="5"/>
  <c r="K382" i="5"/>
  <c r="J382" i="5"/>
  <c r="K381" i="5"/>
  <c r="K380" i="5"/>
  <c r="K379" i="5"/>
  <c r="K378" i="5"/>
  <c r="J377" i="5"/>
  <c r="J376" i="5"/>
  <c r="J359" i="5" s="1"/>
  <c r="J350" i="5" s="1"/>
  <c r="K375" i="5"/>
  <c r="K374" i="5"/>
  <c r="K373" i="5"/>
  <c r="K372" i="5"/>
  <c r="K371" i="5"/>
  <c r="K370" i="5"/>
  <c r="J369" i="5"/>
  <c r="J368" i="5"/>
  <c r="K367" i="5"/>
  <c r="K366" i="5"/>
  <c r="K365" i="5"/>
  <c r="K364" i="5"/>
  <c r="K363" i="5"/>
  <c r="K362" i="5"/>
  <c r="J361" i="5"/>
  <c r="I361" i="5"/>
  <c r="I377" i="5" s="1"/>
  <c r="J360" i="5"/>
  <c r="I360" i="5"/>
  <c r="K360" i="5" s="1"/>
  <c r="I359" i="5"/>
  <c r="I350" i="5" s="1"/>
  <c r="M354" i="5"/>
  <c r="L354" i="5"/>
  <c r="N354" i="5" s="1"/>
  <c r="L353" i="5"/>
  <c r="M352" i="5"/>
  <c r="N351" i="5"/>
  <c r="M350" i="5"/>
  <c r="I347" i="5"/>
  <c r="K347" i="5" s="1"/>
  <c r="I346" i="5"/>
  <c r="K346" i="5" s="1"/>
  <c r="I345" i="5"/>
  <c r="J344" i="5"/>
  <c r="M334" i="5"/>
  <c r="L334" i="5"/>
  <c r="N334" i="5" s="1"/>
  <c r="L333" i="5"/>
  <c r="M332" i="5"/>
  <c r="N331" i="5"/>
  <c r="M330" i="5"/>
  <c r="J330" i="5"/>
  <c r="I327" i="5"/>
  <c r="K327" i="5" s="1"/>
  <c r="I326" i="5"/>
  <c r="K326" i="5" s="1"/>
  <c r="J325" i="5"/>
  <c r="I324" i="5"/>
  <c r="K324" i="5" s="1"/>
  <c r="I323" i="5"/>
  <c r="K323" i="5" s="1"/>
  <c r="I322" i="5"/>
  <c r="K322" i="5" s="1"/>
  <c r="J321" i="5"/>
  <c r="I321" i="5"/>
  <c r="K321" i="5" s="1"/>
  <c r="I320" i="5"/>
  <c r="K320" i="5" s="1"/>
  <c r="I319" i="5"/>
  <c r="K319" i="5" s="1"/>
  <c r="I318" i="5"/>
  <c r="K318" i="5" s="1"/>
  <c r="I317" i="5"/>
  <c r="J316" i="5"/>
  <c r="I316" i="5"/>
  <c r="I315" i="5"/>
  <c r="K315" i="5" s="1"/>
  <c r="I314" i="5"/>
  <c r="K314" i="5" s="1"/>
  <c r="I313" i="5"/>
  <c r="K313" i="5" s="1"/>
  <c r="J312" i="5"/>
  <c r="I312" i="5"/>
  <c r="J311" i="5"/>
  <c r="M301" i="5"/>
  <c r="L301" i="5"/>
  <c r="N301" i="5" s="1"/>
  <c r="L300" i="5"/>
  <c r="N300" i="5" s="1"/>
  <c r="M299" i="5"/>
  <c r="M296" i="5" s="1"/>
  <c r="N298" i="5"/>
  <c r="J297" i="5"/>
  <c r="J296" i="5"/>
  <c r="I293" i="5"/>
  <c r="K293" i="5" s="1"/>
  <c r="I292" i="5"/>
  <c r="K292" i="5" s="1"/>
  <c r="I291" i="5"/>
  <c r="M280" i="5"/>
  <c r="L280" i="5"/>
  <c r="N280" i="5" s="1"/>
  <c r="L279" i="5"/>
  <c r="N279" i="5" s="1"/>
  <c r="M278" i="5"/>
  <c r="M275" i="5" s="1"/>
  <c r="N277" i="5"/>
  <c r="J276" i="5"/>
  <c r="J275" i="5"/>
  <c r="I272" i="5"/>
  <c r="K272" i="5" s="1"/>
  <c r="I271" i="5"/>
  <c r="K271" i="5" s="1"/>
  <c r="J270" i="5"/>
  <c r="I268" i="5"/>
  <c r="K268" i="5" s="1"/>
  <c r="I266" i="5"/>
  <c r="K266" i="5" s="1"/>
  <c r="I264" i="5"/>
  <c r="J263" i="5"/>
  <c r="I263" i="5"/>
  <c r="I267" i="5" s="1"/>
  <c r="K267" i="5" s="1"/>
  <c r="J262" i="5"/>
  <c r="I260" i="5"/>
  <c r="K260" i="5" s="1"/>
  <c r="J259" i="5"/>
  <c r="M249" i="5"/>
  <c r="L249" i="5"/>
  <c r="N249" i="5" s="1"/>
  <c r="L248" i="5"/>
  <c r="N248" i="5" s="1"/>
  <c r="M247" i="5"/>
  <c r="M244" i="5" s="1"/>
  <c r="N246" i="5"/>
  <c r="J245" i="5"/>
  <c r="J244" i="5"/>
  <c r="K241" i="5"/>
  <c r="J241" i="5"/>
  <c r="J240" i="5"/>
  <c r="J228" i="5" s="1"/>
  <c r="I240" i="5"/>
  <c r="K239" i="5"/>
  <c r="J239" i="5"/>
  <c r="J238" i="5"/>
  <c r="I238" i="5"/>
  <c r="K237" i="5"/>
  <c r="J237" i="5"/>
  <c r="J236" i="5"/>
  <c r="I236" i="5"/>
  <c r="I228" i="5" s="1"/>
  <c r="J235" i="5"/>
  <c r="I235" i="5"/>
  <c r="K234" i="5"/>
  <c r="J234" i="5"/>
  <c r="L232" i="5"/>
  <c r="N232" i="5" s="1"/>
  <c r="L231" i="5"/>
  <c r="N231" i="5" s="1"/>
  <c r="M230" i="5"/>
  <c r="N229" i="5"/>
  <c r="M228" i="5"/>
  <c r="I224" i="5"/>
  <c r="L218" i="5"/>
  <c r="N217" i="5"/>
  <c r="M216" i="5"/>
  <c r="N215" i="5"/>
  <c r="M214" i="5"/>
  <c r="J214" i="5"/>
  <c r="I211" i="5"/>
  <c r="K211" i="5" s="1"/>
  <c r="I209" i="5"/>
  <c r="L203" i="5"/>
  <c r="N202" i="5"/>
  <c r="M201" i="5"/>
  <c r="N200" i="5"/>
  <c r="M199" i="5"/>
  <c r="J199" i="5"/>
  <c r="I195" i="5"/>
  <c r="L189" i="5"/>
  <c r="N189" i="5" s="1"/>
  <c r="L188" i="5"/>
  <c r="N188" i="5" s="1"/>
  <c r="M187" i="5"/>
  <c r="M185" i="5" s="1"/>
  <c r="N186" i="5"/>
  <c r="J185" i="5"/>
  <c r="I182" i="5"/>
  <c r="K182" i="5" s="1"/>
  <c r="I181" i="5"/>
  <c r="K181" i="5" s="1"/>
  <c r="I180" i="5"/>
  <c r="K180" i="5" s="1"/>
  <c r="I179" i="5"/>
  <c r="K179" i="5" s="1"/>
  <c r="L173" i="5"/>
  <c r="N173" i="5" s="1"/>
  <c r="L172" i="5"/>
  <c r="M171" i="5"/>
  <c r="N170" i="5"/>
  <c r="M169" i="5"/>
  <c r="J169" i="5"/>
  <c r="K164" i="5"/>
  <c r="K158" i="5"/>
  <c r="J158" i="5"/>
  <c r="I158" i="5"/>
  <c r="I155" i="5"/>
  <c r="J149" i="5"/>
  <c r="L148" i="5"/>
  <c r="N148" i="5" s="1"/>
  <c r="N147" i="5"/>
  <c r="M146" i="5"/>
  <c r="N145" i="5"/>
  <c r="M144" i="5"/>
  <c r="J144" i="5"/>
  <c r="L141" i="5"/>
  <c r="N141" i="5" s="1"/>
  <c r="I141" i="5"/>
  <c r="K141" i="5" s="1"/>
  <c r="L140" i="5"/>
  <c r="N140" i="5" s="1"/>
  <c r="I140" i="5"/>
  <c r="K140" i="5" s="1"/>
  <c r="L138" i="5"/>
  <c r="N138" i="5" s="1"/>
  <c r="I138" i="5"/>
  <c r="K138" i="5" s="1"/>
  <c r="L132" i="5"/>
  <c r="N132" i="5" s="1"/>
  <c r="M131" i="5"/>
  <c r="N130" i="5"/>
  <c r="M129" i="5"/>
  <c r="J129" i="5"/>
  <c r="L126" i="5"/>
  <c r="N126" i="5" s="1"/>
  <c r="I126" i="5"/>
  <c r="K126" i="5" s="1"/>
  <c r="L125" i="5"/>
  <c r="N125" i="5" s="1"/>
  <c r="I125" i="5"/>
  <c r="I124" i="5"/>
  <c r="K124" i="5" s="1"/>
  <c r="L117" i="5"/>
  <c r="M116" i="5"/>
  <c r="N115" i="5"/>
  <c r="M114" i="5"/>
  <c r="J114" i="5"/>
  <c r="L111" i="5"/>
  <c r="N111" i="5" s="1"/>
  <c r="I111" i="5"/>
  <c r="K111" i="5" s="1"/>
  <c r="L110" i="5"/>
  <c r="N110" i="5" s="1"/>
  <c r="I110" i="5"/>
  <c r="K110" i="5" s="1"/>
  <c r="L104" i="5"/>
  <c r="M103" i="5"/>
  <c r="N102" i="5"/>
  <c r="M101" i="5"/>
  <c r="J101" i="5"/>
  <c r="L98" i="5"/>
  <c r="N98" i="5" s="1"/>
  <c r="I98" i="5"/>
  <c r="L92" i="5"/>
  <c r="M91" i="5"/>
  <c r="N90" i="5"/>
  <c r="M89" i="5"/>
  <c r="J89" i="5"/>
  <c r="J84" i="5"/>
  <c r="I83" i="5"/>
  <c r="L77" i="5"/>
  <c r="N77" i="5" s="1"/>
  <c r="M76" i="5"/>
  <c r="N75" i="5"/>
  <c r="M74" i="5"/>
  <c r="J74" i="5"/>
  <c r="M73" i="5"/>
  <c r="L72" i="5"/>
  <c r="N72" i="5" s="1"/>
  <c r="M71" i="5"/>
  <c r="M68" i="5" s="1"/>
  <c r="N70" i="5"/>
  <c r="J68" i="5"/>
  <c r="I62" i="5"/>
  <c r="L56" i="5"/>
  <c r="N56" i="5" s="1"/>
  <c r="L55" i="5"/>
  <c r="M54" i="5"/>
  <c r="N53" i="5"/>
  <c r="M52" i="5"/>
  <c r="J52" i="5"/>
  <c r="I48" i="5"/>
  <c r="I47" i="5"/>
  <c r="K47" i="5" s="1"/>
  <c r="I46" i="5"/>
  <c r="K46" i="5" s="1"/>
  <c r="I45" i="5"/>
  <c r="K45" i="5" s="1"/>
  <c r="I44" i="5"/>
  <c r="I43" i="5"/>
  <c r="K43" i="5" s="1"/>
  <c r="L37" i="5"/>
  <c r="N37" i="5" s="1"/>
  <c r="L36" i="5"/>
  <c r="N36" i="5" s="1"/>
  <c r="M35" i="5"/>
  <c r="L35" i="5"/>
  <c r="L32" i="5" s="1"/>
  <c r="N34" i="5"/>
  <c r="J33" i="5"/>
  <c r="J32" i="5"/>
  <c r="I28" i="5"/>
  <c r="K28" i="5" s="1"/>
  <c r="I27" i="5"/>
  <c r="K27" i="5" s="1"/>
  <c r="I26" i="5"/>
  <c r="K26" i="5" s="1"/>
  <c r="I25" i="5"/>
  <c r="I24" i="5"/>
  <c r="I23" i="5"/>
  <c r="K23" i="5" s="1"/>
  <c r="I22" i="5"/>
  <c r="K22" i="5" s="1"/>
  <c r="J21" i="5"/>
  <c r="J10" i="5" s="1"/>
  <c r="J20" i="5"/>
  <c r="L14" i="5"/>
  <c r="N14" i="5" s="1"/>
  <c r="L13" i="5"/>
  <c r="N13" i="5" s="1"/>
  <c r="M12" i="5"/>
  <c r="L12" i="5"/>
  <c r="N11" i="5"/>
  <c r="M9" i="5"/>
  <c r="J9" i="5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17" i="4"/>
  <c r="I517" i="4"/>
  <c r="J514" i="4"/>
  <c r="J513" i="4" s="1"/>
  <c r="I514" i="4"/>
  <c r="I513" i="4"/>
  <c r="K519" i="4" s="1"/>
  <c r="J510" i="4"/>
  <c r="I510" i="4"/>
  <c r="J504" i="4"/>
  <c r="I504" i="4"/>
  <c r="K512" i="4" s="1"/>
  <c r="M494" i="4"/>
  <c r="L494" i="4"/>
  <c r="N494" i="4" s="1"/>
  <c r="L493" i="4"/>
  <c r="N493" i="4" s="1"/>
  <c r="M492" i="4"/>
  <c r="N491" i="4"/>
  <c r="M490" i="4"/>
  <c r="J489" i="4"/>
  <c r="I489" i="4"/>
  <c r="K489" i="4" s="1"/>
  <c r="J488" i="4"/>
  <c r="J473" i="4" s="1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J483" i="4"/>
  <c r="I483" i="4"/>
  <c r="K483" i="4" s="1"/>
  <c r="J482" i="4"/>
  <c r="I482" i="4"/>
  <c r="K482" i="4" s="1"/>
  <c r="M477" i="4"/>
  <c r="L477" i="4"/>
  <c r="N477" i="4" s="1"/>
  <c r="L476" i="4"/>
  <c r="M475" i="4"/>
  <c r="N474" i="4"/>
  <c r="M473" i="4"/>
  <c r="K472" i="4"/>
  <c r="K471" i="4"/>
  <c r="K470" i="4"/>
  <c r="K469" i="4"/>
  <c r="K468" i="4"/>
  <c r="J466" i="4"/>
  <c r="I466" i="4"/>
  <c r="I457" i="4" s="1"/>
  <c r="K457" i="4" s="1"/>
  <c r="M461" i="4"/>
  <c r="L461" i="4"/>
  <c r="N461" i="4" s="1"/>
  <c r="L460" i="4"/>
  <c r="M459" i="4"/>
  <c r="N458" i="4"/>
  <c r="M457" i="4"/>
  <c r="J457" i="4"/>
  <c r="I456" i="4"/>
  <c r="K456" i="4" s="1"/>
  <c r="I455" i="4"/>
  <c r="I454" i="4"/>
  <c r="K454" i="4" s="1"/>
  <c r="I453" i="4"/>
  <c r="K453" i="4" s="1"/>
  <c r="M448" i="4"/>
  <c r="M446" i="4" s="1"/>
  <c r="M444" i="4" s="1"/>
  <c r="L448" i="4"/>
  <c r="N448" i="4" s="1"/>
  <c r="L447" i="4"/>
  <c r="N447" i="4" s="1"/>
  <c r="N445" i="4"/>
  <c r="J444" i="4"/>
  <c r="I441" i="4"/>
  <c r="K441" i="4" s="1"/>
  <c r="I440" i="4"/>
  <c r="I426" i="4" s="1"/>
  <c r="K426" i="4" s="1"/>
  <c r="M430" i="4"/>
  <c r="L430" i="4"/>
  <c r="N430" i="4" s="1"/>
  <c r="L429" i="4"/>
  <c r="N429" i="4" s="1"/>
  <c r="M428" i="4"/>
  <c r="M426" i="4" s="1"/>
  <c r="N427" i="4"/>
  <c r="J426" i="4"/>
  <c r="J417" i="4"/>
  <c r="I419" i="4" s="1"/>
  <c r="J416" i="4"/>
  <c r="I418" i="4" s="1"/>
  <c r="J415" i="4"/>
  <c r="J414" i="4"/>
  <c r="J413" i="4"/>
  <c r="J412" i="4"/>
  <c r="I411" i="4"/>
  <c r="I410" i="4"/>
  <c r="I409" i="4"/>
  <c r="K408" i="4"/>
  <c r="K407" i="4"/>
  <c r="K406" i="4"/>
  <c r="K405" i="4"/>
  <c r="K404" i="4"/>
  <c r="K403" i="4"/>
  <c r="K402" i="4"/>
  <c r="J402" i="4"/>
  <c r="J392" i="4" s="1"/>
  <c r="K401" i="4"/>
  <c r="J401" i="4"/>
  <c r="K400" i="4"/>
  <c r="K399" i="4"/>
  <c r="K398" i="4"/>
  <c r="K397" i="4"/>
  <c r="K396" i="4"/>
  <c r="K395" i="4"/>
  <c r="K394" i="4"/>
  <c r="J394" i="4"/>
  <c r="K393" i="4"/>
  <c r="J393" i="4"/>
  <c r="I392" i="4"/>
  <c r="K392" i="4" s="1"/>
  <c r="J391" i="4"/>
  <c r="I391" i="4"/>
  <c r="I390" i="4"/>
  <c r="K389" i="4"/>
  <c r="K388" i="4"/>
  <c r="K387" i="4"/>
  <c r="K386" i="4"/>
  <c r="K385" i="4"/>
  <c r="K384" i="4"/>
  <c r="K383" i="4"/>
  <c r="J383" i="4"/>
  <c r="J377" i="4" s="1"/>
  <c r="K382" i="4"/>
  <c r="J382" i="4"/>
  <c r="K381" i="4"/>
  <c r="K380" i="4"/>
  <c r="K379" i="4"/>
  <c r="K378" i="4"/>
  <c r="J376" i="4"/>
  <c r="J359" i="4" s="1"/>
  <c r="K375" i="4"/>
  <c r="K374" i="4"/>
  <c r="K373" i="4"/>
  <c r="K372" i="4"/>
  <c r="K371" i="4"/>
  <c r="K370" i="4"/>
  <c r="J369" i="4"/>
  <c r="J368" i="4"/>
  <c r="K367" i="4"/>
  <c r="K366" i="4"/>
  <c r="K365" i="4"/>
  <c r="K364" i="4"/>
  <c r="K363" i="4"/>
  <c r="K362" i="4"/>
  <c r="J361" i="4"/>
  <c r="I361" i="4"/>
  <c r="I377" i="4" s="1"/>
  <c r="J360" i="4"/>
  <c r="I360" i="4"/>
  <c r="K360" i="4" s="1"/>
  <c r="I359" i="4"/>
  <c r="I350" i="4" s="1"/>
  <c r="M354" i="4"/>
  <c r="M352" i="4" s="1"/>
  <c r="M350" i="4" s="1"/>
  <c r="L354" i="4"/>
  <c r="N354" i="4" s="1"/>
  <c r="L353" i="4"/>
  <c r="N351" i="4"/>
  <c r="I347" i="4"/>
  <c r="K347" i="4" s="1"/>
  <c r="I346" i="4"/>
  <c r="K346" i="4" s="1"/>
  <c r="I345" i="4"/>
  <c r="J344" i="4"/>
  <c r="M334" i="4"/>
  <c r="L334" i="4"/>
  <c r="N334" i="4" s="1"/>
  <c r="L333" i="4"/>
  <c r="M332" i="4"/>
  <c r="N331" i="4"/>
  <c r="M330" i="4"/>
  <c r="J330" i="4"/>
  <c r="I327" i="4"/>
  <c r="K327" i="4" s="1"/>
  <c r="I326" i="4"/>
  <c r="K326" i="4" s="1"/>
  <c r="J325" i="4"/>
  <c r="I324" i="4"/>
  <c r="K324" i="4" s="1"/>
  <c r="I323" i="4"/>
  <c r="K323" i="4" s="1"/>
  <c r="I322" i="4"/>
  <c r="K322" i="4" s="1"/>
  <c r="J321" i="4"/>
  <c r="I321" i="4"/>
  <c r="K321" i="4" s="1"/>
  <c r="I320" i="4"/>
  <c r="K320" i="4" s="1"/>
  <c r="I319" i="4"/>
  <c r="K319" i="4" s="1"/>
  <c r="I318" i="4"/>
  <c r="K318" i="4" s="1"/>
  <c r="I317" i="4"/>
  <c r="J316" i="4"/>
  <c r="I316" i="4"/>
  <c r="I315" i="4"/>
  <c r="K315" i="4" s="1"/>
  <c r="I314" i="4"/>
  <c r="K314" i="4" s="1"/>
  <c r="I313" i="4"/>
  <c r="K313" i="4" s="1"/>
  <c r="J312" i="4"/>
  <c r="I312" i="4"/>
  <c r="K312" i="4" s="1"/>
  <c r="J311" i="4"/>
  <c r="M301" i="4"/>
  <c r="L301" i="4"/>
  <c r="N301" i="4" s="1"/>
  <c r="L300" i="4"/>
  <c r="N300" i="4" s="1"/>
  <c r="M299" i="4"/>
  <c r="M296" i="4" s="1"/>
  <c r="N298" i="4"/>
  <c r="J297" i="4"/>
  <c r="J296" i="4"/>
  <c r="I293" i="4"/>
  <c r="K293" i="4" s="1"/>
  <c r="I292" i="4"/>
  <c r="K292" i="4" s="1"/>
  <c r="I291" i="4"/>
  <c r="K291" i="4" s="1"/>
  <c r="M280" i="4"/>
  <c r="L280" i="4"/>
  <c r="N280" i="4" s="1"/>
  <c r="L279" i="4"/>
  <c r="N279" i="4" s="1"/>
  <c r="M278" i="4"/>
  <c r="M275" i="4" s="1"/>
  <c r="N277" i="4"/>
  <c r="J276" i="4"/>
  <c r="J275" i="4"/>
  <c r="I272" i="4"/>
  <c r="K272" i="4" s="1"/>
  <c r="I271" i="4"/>
  <c r="K271" i="4" s="1"/>
  <c r="J270" i="4"/>
  <c r="I268" i="4"/>
  <c r="K268" i="4" s="1"/>
  <c r="I266" i="4"/>
  <c r="I264" i="4"/>
  <c r="J263" i="4"/>
  <c r="I263" i="4"/>
  <c r="I267" i="4" s="1"/>
  <c r="K267" i="4" s="1"/>
  <c r="J262" i="4"/>
  <c r="I260" i="4"/>
  <c r="K260" i="4" s="1"/>
  <c r="J259" i="4"/>
  <c r="M249" i="4"/>
  <c r="L249" i="4"/>
  <c r="N249" i="4" s="1"/>
  <c r="L248" i="4"/>
  <c r="N248" i="4" s="1"/>
  <c r="M247" i="4"/>
  <c r="M244" i="4" s="1"/>
  <c r="N246" i="4"/>
  <c r="J245" i="4"/>
  <c r="J244" i="4"/>
  <c r="K241" i="4"/>
  <c r="J241" i="4"/>
  <c r="J240" i="4"/>
  <c r="J228" i="4" s="1"/>
  <c r="I240" i="4"/>
  <c r="K239" i="4"/>
  <c r="J239" i="4"/>
  <c r="J238" i="4"/>
  <c r="I238" i="4"/>
  <c r="K237" i="4"/>
  <c r="J237" i="4"/>
  <c r="J236" i="4"/>
  <c r="I236" i="4"/>
  <c r="I228" i="4" s="1"/>
  <c r="J235" i="4"/>
  <c r="I235" i="4"/>
  <c r="K234" i="4"/>
  <c r="J234" i="4"/>
  <c r="L232" i="4"/>
  <c r="N232" i="4" s="1"/>
  <c r="L231" i="4"/>
  <c r="N231" i="4" s="1"/>
  <c r="M230" i="4"/>
  <c r="M228" i="4" s="1"/>
  <c r="N229" i="4"/>
  <c r="I224" i="4"/>
  <c r="L218" i="4"/>
  <c r="N218" i="4" s="1"/>
  <c r="N217" i="4"/>
  <c r="M216" i="4"/>
  <c r="N215" i="4"/>
  <c r="M214" i="4"/>
  <c r="J214" i="4"/>
  <c r="I211" i="4"/>
  <c r="K211" i="4" s="1"/>
  <c r="I209" i="4"/>
  <c r="K209" i="4" s="1"/>
  <c r="N203" i="4"/>
  <c r="L203" i="4"/>
  <c r="L201" i="4" s="1"/>
  <c r="N202" i="4"/>
  <c r="M201" i="4"/>
  <c r="N200" i="4"/>
  <c r="M199" i="4"/>
  <c r="J199" i="4"/>
  <c r="I195" i="4"/>
  <c r="K195" i="4" s="1"/>
  <c r="L189" i="4"/>
  <c r="N189" i="4" s="1"/>
  <c r="L188" i="4"/>
  <c r="N188" i="4" s="1"/>
  <c r="M187" i="4"/>
  <c r="N186" i="4"/>
  <c r="M185" i="4"/>
  <c r="J185" i="4"/>
  <c r="I182" i="4"/>
  <c r="K182" i="4" s="1"/>
  <c r="I181" i="4"/>
  <c r="K181" i="4" s="1"/>
  <c r="I180" i="4"/>
  <c r="I179" i="4"/>
  <c r="K179" i="4" s="1"/>
  <c r="L173" i="4"/>
  <c r="N173" i="4" s="1"/>
  <c r="L172" i="4"/>
  <c r="M171" i="4"/>
  <c r="N170" i="4"/>
  <c r="M169" i="4"/>
  <c r="J169" i="4"/>
  <c r="K164" i="4"/>
  <c r="K158" i="4"/>
  <c r="J158" i="4"/>
  <c r="I158" i="4"/>
  <c r="I155" i="4"/>
  <c r="J149" i="4"/>
  <c r="L148" i="4"/>
  <c r="N148" i="4" s="1"/>
  <c r="N147" i="4"/>
  <c r="M146" i="4"/>
  <c r="N145" i="4"/>
  <c r="J144" i="4"/>
  <c r="L141" i="4"/>
  <c r="N141" i="4" s="1"/>
  <c r="I141" i="4"/>
  <c r="K141" i="4" s="1"/>
  <c r="L140" i="4"/>
  <c r="N140" i="4" s="1"/>
  <c r="I140" i="4"/>
  <c r="K140" i="4" s="1"/>
  <c r="N139" i="4"/>
  <c r="N138" i="4"/>
  <c r="I138" i="4"/>
  <c r="M137" i="4"/>
  <c r="L137" i="4"/>
  <c r="N137" i="4" s="1"/>
  <c r="L132" i="4"/>
  <c r="N132" i="4" s="1"/>
  <c r="M131" i="4"/>
  <c r="N130" i="4"/>
  <c r="M129" i="4"/>
  <c r="J129" i="4"/>
  <c r="L126" i="4"/>
  <c r="N126" i="4" s="1"/>
  <c r="I126" i="4"/>
  <c r="K126" i="4" s="1"/>
  <c r="L125" i="4"/>
  <c r="N125" i="4" s="1"/>
  <c r="I125" i="4"/>
  <c r="K125" i="4" s="1"/>
  <c r="I124" i="4"/>
  <c r="K124" i="4" s="1"/>
  <c r="L117" i="4"/>
  <c r="N117" i="4" s="1"/>
  <c r="M116" i="4"/>
  <c r="N115" i="4"/>
  <c r="M114" i="4"/>
  <c r="J114" i="4"/>
  <c r="L111" i="4"/>
  <c r="N111" i="4" s="1"/>
  <c r="I111" i="4"/>
  <c r="K111" i="4" s="1"/>
  <c r="L110" i="4"/>
  <c r="N110" i="4" s="1"/>
  <c r="I110" i="4"/>
  <c r="K110" i="4" s="1"/>
  <c r="L104" i="4"/>
  <c r="N104" i="4" s="1"/>
  <c r="M103" i="4"/>
  <c r="N102" i="4"/>
  <c r="M101" i="4"/>
  <c r="J101" i="4"/>
  <c r="L98" i="4"/>
  <c r="N98" i="4" s="1"/>
  <c r="I98" i="4"/>
  <c r="L92" i="4"/>
  <c r="N92" i="4" s="1"/>
  <c r="M91" i="4"/>
  <c r="N90" i="4"/>
  <c r="M89" i="4"/>
  <c r="J89" i="4"/>
  <c r="J84" i="4"/>
  <c r="I83" i="4"/>
  <c r="K83" i="4" s="1"/>
  <c r="L77" i="4"/>
  <c r="L76" i="4" s="1"/>
  <c r="L74" i="4" s="1"/>
  <c r="M76" i="4"/>
  <c r="N75" i="4"/>
  <c r="J74" i="4"/>
  <c r="M73" i="4"/>
  <c r="L72" i="4"/>
  <c r="N72" i="4" s="1"/>
  <c r="M71" i="4"/>
  <c r="N70" i="4"/>
  <c r="M68" i="4"/>
  <c r="J68" i="4"/>
  <c r="I62" i="4"/>
  <c r="K62" i="4" s="1"/>
  <c r="L56" i="4"/>
  <c r="N56" i="4" s="1"/>
  <c r="L55" i="4"/>
  <c r="N55" i="4" s="1"/>
  <c r="M54" i="4"/>
  <c r="N53" i="4"/>
  <c r="M52" i="4"/>
  <c r="J52" i="4"/>
  <c r="I48" i="4"/>
  <c r="K48" i="4" s="1"/>
  <c r="I47" i="4"/>
  <c r="K47" i="4" s="1"/>
  <c r="I46" i="4"/>
  <c r="K46" i="4" s="1"/>
  <c r="I45" i="4"/>
  <c r="K45" i="4" s="1"/>
  <c r="I44" i="4"/>
  <c r="K44" i="4" s="1"/>
  <c r="I43" i="4"/>
  <c r="K43" i="4" s="1"/>
  <c r="L37" i="4"/>
  <c r="N37" i="4" s="1"/>
  <c r="L36" i="4"/>
  <c r="N36" i="4" s="1"/>
  <c r="M35" i="4"/>
  <c r="M32" i="4" s="1"/>
  <c r="L35" i="4"/>
  <c r="N34" i="4"/>
  <c r="J33" i="4"/>
  <c r="J32" i="4"/>
  <c r="I28" i="4"/>
  <c r="K28" i="4" s="1"/>
  <c r="I27" i="4"/>
  <c r="K27" i="4" s="1"/>
  <c r="I26" i="4"/>
  <c r="K26" i="4" s="1"/>
  <c r="I25" i="4"/>
  <c r="K25" i="4" s="1"/>
  <c r="I24" i="4"/>
  <c r="K24" i="4" s="1"/>
  <c r="I23" i="4"/>
  <c r="K23" i="4" s="1"/>
  <c r="I22" i="4"/>
  <c r="J21" i="4"/>
  <c r="J20" i="4"/>
  <c r="L14" i="4"/>
  <c r="N14" i="4" s="1"/>
  <c r="L13" i="4"/>
  <c r="N13" i="4" s="1"/>
  <c r="M12" i="4"/>
  <c r="M9" i="4" s="1"/>
  <c r="L12" i="4"/>
  <c r="N12" i="4" s="1"/>
  <c r="N11" i="4"/>
  <c r="J10" i="4"/>
  <c r="J9" i="4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17" i="3"/>
  <c r="I517" i="3"/>
  <c r="J514" i="3"/>
  <c r="J513" i="3" s="1"/>
  <c r="I514" i="3"/>
  <c r="I513" i="3"/>
  <c r="K519" i="3" s="1"/>
  <c r="J510" i="3"/>
  <c r="I510" i="3"/>
  <c r="J504" i="3"/>
  <c r="J490" i="3" s="1"/>
  <c r="I504" i="3"/>
  <c r="M494" i="3"/>
  <c r="L494" i="3"/>
  <c r="N494" i="3" s="1"/>
  <c r="L493" i="3"/>
  <c r="M492" i="3"/>
  <c r="N491" i="3"/>
  <c r="M490" i="3"/>
  <c r="J489" i="3"/>
  <c r="I489" i="3"/>
  <c r="K489" i="3" s="1"/>
  <c r="J488" i="3"/>
  <c r="J473" i="3" s="1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K482" i="3" s="1"/>
  <c r="M477" i="3"/>
  <c r="L477" i="3"/>
  <c r="N477" i="3" s="1"/>
  <c r="L476" i="3"/>
  <c r="M475" i="3"/>
  <c r="N474" i="3"/>
  <c r="M473" i="3"/>
  <c r="K472" i="3"/>
  <c r="K471" i="3"/>
  <c r="K470" i="3"/>
  <c r="K469" i="3"/>
  <c r="K468" i="3"/>
  <c r="J466" i="3"/>
  <c r="I466" i="3"/>
  <c r="M461" i="3"/>
  <c r="L461" i="3"/>
  <c r="L460" i="3"/>
  <c r="N458" i="3"/>
  <c r="J457" i="3"/>
  <c r="I456" i="3"/>
  <c r="K456" i="3" s="1"/>
  <c r="I455" i="3"/>
  <c r="K455" i="3" s="1"/>
  <c r="I454" i="3"/>
  <c r="K454" i="3" s="1"/>
  <c r="I453" i="3"/>
  <c r="K453" i="3" s="1"/>
  <c r="M448" i="3"/>
  <c r="L448" i="3"/>
  <c r="L447" i="3"/>
  <c r="N447" i="3" s="1"/>
  <c r="M446" i="3"/>
  <c r="M444" i="3" s="1"/>
  <c r="N445" i="3"/>
  <c r="J444" i="3"/>
  <c r="I441" i="3"/>
  <c r="K441" i="3" s="1"/>
  <c r="I440" i="3"/>
  <c r="M430" i="3"/>
  <c r="L430" i="3"/>
  <c r="N430" i="3" s="1"/>
  <c r="L429" i="3"/>
  <c r="M428" i="3"/>
  <c r="N427" i="3"/>
  <c r="M426" i="3"/>
  <c r="J426" i="3"/>
  <c r="J417" i="3"/>
  <c r="I419" i="3" s="1"/>
  <c r="J416" i="3"/>
  <c r="I418" i="3" s="1"/>
  <c r="J415" i="3"/>
  <c r="J414" i="3"/>
  <c r="J413" i="3"/>
  <c r="J412" i="3"/>
  <c r="I411" i="3"/>
  <c r="I410" i="3"/>
  <c r="I409" i="3"/>
  <c r="K408" i="3"/>
  <c r="K407" i="3"/>
  <c r="K406" i="3"/>
  <c r="K405" i="3"/>
  <c r="K404" i="3"/>
  <c r="K403" i="3"/>
  <c r="K402" i="3"/>
  <c r="J402" i="3"/>
  <c r="K401" i="3"/>
  <c r="J401" i="3"/>
  <c r="J391" i="3" s="1"/>
  <c r="J390" i="3" s="1"/>
  <c r="K400" i="3"/>
  <c r="K399" i="3"/>
  <c r="K398" i="3"/>
  <c r="K397" i="3"/>
  <c r="K396" i="3"/>
  <c r="K395" i="3"/>
  <c r="K394" i="3"/>
  <c r="J394" i="3"/>
  <c r="J392" i="3" s="1"/>
  <c r="K393" i="3"/>
  <c r="J393" i="3"/>
  <c r="I392" i="3"/>
  <c r="I391" i="3"/>
  <c r="I390" i="3"/>
  <c r="K390" i="3" s="1"/>
  <c r="K389" i="3"/>
  <c r="K388" i="3"/>
  <c r="K387" i="3"/>
  <c r="K386" i="3"/>
  <c r="K385" i="3"/>
  <c r="K384" i="3"/>
  <c r="K383" i="3"/>
  <c r="J383" i="3"/>
  <c r="J377" i="3" s="1"/>
  <c r="K382" i="3"/>
  <c r="J382" i="3"/>
  <c r="K381" i="3"/>
  <c r="K380" i="3"/>
  <c r="K379" i="3"/>
  <c r="K378" i="3"/>
  <c r="J376" i="3"/>
  <c r="K375" i="3"/>
  <c r="K374" i="3"/>
  <c r="K373" i="3"/>
  <c r="K372" i="3"/>
  <c r="K371" i="3"/>
  <c r="K370" i="3"/>
  <c r="J369" i="3"/>
  <c r="J368" i="3"/>
  <c r="K367" i="3"/>
  <c r="K366" i="3"/>
  <c r="K365" i="3"/>
  <c r="K364" i="3"/>
  <c r="K363" i="3"/>
  <c r="K362" i="3"/>
  <c r="J361" i="3"/>
  <c r="I361" i="3"/>
  <c r="I377" i="3" s="1"/>
  <c r="K377" i="3" s="1"/>
  <c r="J360" i="3"/>
  <c r="I360" i="3"/>
  <c r="K360" i="3" s="1"/>
  <c r="J359" i="3"/>
  <c r="I359" i="3"/>
  <c r="I350" i="3" s="1"/>
  <c r="K350" i="3" s="1"/>
  <c r="M354" i="3"/>
  <c r="M352" i="3" s="1"/>
  <c r="M350" i="3" s="1"/>
  <c r="L354" i="3"/>
  <c r="L353" i="3"/>
  <c r="N351" i="3"/>
  <c r="J350" i="3"/>
  <c r="I347" i="3"/>
  <c r="K347" i="3" s="1"/>
  <c r="I346" i="3"/>
  <c r="K346" i="3" s="1"/>
  <c r="I345" i="3"/>
  <c r="J344" i="3"/>
  <c r="M334" i="3"/>
  <c r="M332" i="3" s="1"/>
  <c r="M330" i="3" s="1"/>
  <c r="L334" i="3"/>
  <c r="L333" i="3"/>
  <c r="N331" i="3"/>
  <c r="J330" i="3"/>
  <c r="I327" i="3"/>
  <c r="K327" i="3" s="1"/>
  <c r="I326" i="3"/>
  <c r="J325" i="3"/>
  <c r="I324" i="3"/>
  <c r="K324" i="3" s="1"/>
  <c r="I323" i="3"/>
  <c r="K323" i="3" s="1"/>
  <c r="I322" i="3"/>
  <c r="K322" i="3" s="1"/>
  <c r="J321" i="3"/>
  <c r="I321" i="3"/>
  <c r="K321" i="3" s="1"/>
  <c r="I320" i="3"/>
  <c r="K320" i="3" s="1"/>
  <c r="I319" i="3"/>
  <c r="K319" i="3" s="1"/>
  <c r="I318" i="3"/>
  <c r="K318" i="3" s="1"/>
  <c r="I317" i="3"/>
  <c r="J316" i="3"/>
  <c r="I316" i="3"/>
  <c r="K316" i="3" s="1"/>
  <c r="I315" i="3"/>
  <c r="K315" i="3" s="1"/>
  <c r="I314" i="3"/>
  <c r="K314" i="3" s="1"/>
  <c r="I313" i="3"/>
  <c r="K313" i="3" s="1"/>
  <c r="J312" i="3"/>
  <c r="I312" i="3"/>
  <c r="J311" i="3"/>
  <c r="J297" i="3" s="1"/>
  <c r="M301" i="3"/>
  <c r="L301" i="3"/>
  <c r="N301" i="3" s="1"/>
  <c r="L300" i="3"/>
  <c r="N300" i="3" s="1"/>
  <c r="M299" i="3"/>
  <c r="M296" i="3" s="1"/>
  <c r="N298" i="3"/>
  <c r="J296" i="3"/>
  <c r="I293" i="3"/>
  <c r="I292" i="3"/>
  <c r="I275" i="3" s="1"/>
  <c r="K275" i="3" s="1"/>
  <c r="I291" i="3"/>
  <c r="M280" i="3"/>
  <c r="L280" i="3"/>
  <c r="N280" i="3" s="1"/>
  <c r="L279" i="3"/>
  <c r="M278" i="3"/>
  <c r="M275" i="3" s="1"/>
  <c r="N277" i="3"/>
  <c r="J276" i="3"/>
  <c r="J276" i="1" s="1"/>
  <c r="J275" i="3"/>
  <c r="I272" i="3"/>
  <c r="I271" i="3"/>
  <c r="K271" i="3" s="1"/>
  <c r="J270" i="3"/>
  <c r="J244" i="3" s="1"/>
  <c r="I268" i="3"/>
  <c r="K268" i="3" s="1"/>
  <c r="I266" i="3"/>
  <c r="K266" i="3" s="1"/>
  <c r="I264" i="3"/>
  <c r="J263" i="3"/>
  <c r="I263" i="3"/>
  <c r="I267" i="3" s="1"/>
  <c r="K267" i="3" s="1"/>
  <c r="J262" i="3"/>
  <c r="I260" i="3"/>
  <c r="K260" i="3" s="1"/>
  <c r="J259" i="3"/>
  <c r="M249" i="3"/>
  <c r="L249" i="3"/>
  <c r="N249" i="3" s="1"/>
  <c r="L248" i="3"/>
  <c r="M247" i="3"/>
  <c r="M244" i="3" s="1"/>
  <c r="M244" i="1" s="1"/>
  <c r="N246" i="3"/>
  <c r="J245" i="3"/>
  <c r="K241" i="3"/>
  <c r="J241" i="3"/>
  <c r="J240" i="3"/>
  <c r="J228" i="3" s="1"/>
  <c r="I240" i="3"/>
  <c r="K239" i="3"/>
  <c r="J239" i="3"/>
  <c r="J238" i="3"/>
  <c r="I238" i="3"/>
  <c r="K237" i="3"/>
  <c r="J237" i="3"/>
  <c r="J236" i="3"/>
  <c r="I236" i="3"/>
  <c r="I228" i="3" s="1"/>
  <c r="J235" i="3"/>
  <c r="I235" i="3"/>
  <c r="K234" i="3"/>
  <c r="J234" i="3"/>
  <c r="L232" i="3"/>
  <c r="N232" i="3" s="1"/>
  <c r="L231" i="3"/>
  <c r="M230" i="3"/>
  <c r="N229" i="3"/>
  <c r="M228" i="3"/>
  <c r="I224" i="3"/>
  <c r="K224" i="3" s="1"/>
  <c r="L218" i="3"/>
  <c r="N218" i="3" s="1"/>
  <c r="N217" i="3"/>
  <c r="M216" i="3"/>
  <c r="N215" i="3"/>
  <c r="M214" i="3"/>
  <c r="J214" i="3"/>
  <c r="I211" i="3"/>
  <c r="K211" i="3" s="1"/>
  <c r="I209" i="3"/>
  <c r="K209" i="3" s="1"/>
  <c r="L203" i="3"/>
  <c r="N202" i="3"/>
  <c r="M201" i="3"/>
  <c r="M199" i="3" s="1"/>
  <c r="N200" i="3"/>
  <c r="J199" i="3"/>
  <c r="I195" i="3"/>
  <c r="K195" i="3" s="1"/>
  <c r="L189" i="3"/>
  <c r="N189" i="3" s="1"/>
  <c r="L188" i="3"/>
  <c r="N188" i="3" s="1"/>
  <c r="M187" i="3"/>
  <c r="M185" i="3" s="1"/>
  <c r="N186" i="3"/>
  <c r="J185" i="3"/>
  <c r="I182" i="3"/>
  <c r="K182" i="3" s="1"/>
  <c r="I181" i="3"/>
  <c r="K181" i="3" s="1"/>
  <c r="I180" i="3"/>
  <c r="I169" i="3" s="1"/>
  <c r="K169" i="3" s="1"/>
  <c r="I179" i="3"/>
  <c r="K179" i="3" s="1"/>
  <c r="L173" i="3"/>
  <c r="N173" i="3" s="1"/>
  <c r="L172" i="3"/>
  <c r="M171" i="3"/>
  <c r="N170" i="3"/>
  <c r="M169" i="3"/>
  <c r="J169" i="3"/>
  <c r="J169" i="1" s="1"/>
  <c r="K164" i="3"/>
  <c r="K158" i="3"/>
  <c r="J158" i="3"/>
  <c r="J144" i="3" s="1"/>
  <c r="I158" i="3"/>
  <c r="I155" i="3"/>
  <c r="J149" i="3"/>
  <c r="L148" i="3"/>
  <c r="N148" i="3" s="1"/>
  <c r="N147" i="3"/>
  <c r="M146" i="3"/>
  <c r="M146" i="1" s="1"/>
  <c r="N145" i="3"/>
  <c r="M144" i="3"/>
  <c r="L141" i="3"/>
  <c r="N141" i="3" s="1"/>
  <c r="I141" i="3"/>
  <c r="K141" i="3" s="1"/>
  <c r="L140" i="3"/>
  <c r="N140" i="3" s="1"/>
  <c r="I140" i="3"/>
  <c r="K140" i="3" s="1"/>
  <c r="L138" i="3"/>
  <c r="N138" i="3" s="1"/>
  <c r="I138" i="3"/>
  <c r="K138" i="3" s="1"/>
  <c r="L132" i="3"/>
  <c r="L131" i="3" s="1"/>
  <c r="N131" i="3" s="1"/>
  <c r="M131" i="3"/>
  <c r="N130" i="3"/>
  <c r="M129" i="3"/>
  <c r="J129" i="3"/>
  <c r="L126" i="3"/>
  <c r="N126" i="3" s="1"/>
  <c r="I126" i="3"/>
  <c r="K126" i="3" s="1"/>
  <c r="L125" i="3"/>
  <c r="N125" i="3" s="1"/>
  <c r="I125" i="3"/>
  <c r="I124" i="3"/>
  <c r="K124" i="3" s="1"/>
  <c r="L117" i="3"/>
  <c r="M116" i="3"/>
  <c r="N115" i="3"/>
  <c r="M114" i="3"/>
  <c r="J114" i="3"/>
  <c r="L111" i="3"/>
  <c r="N111" i="3" s="1"/>
  <c r="I111" i="3"/>
  <c r="K111" i="3" s="1"/>
  <c r="L110" i="3"/>
  <c r="N110" i="3" s="1"/>
  <c r="I110" i="3"/>
  <c r="K110" i="3" s="1"/>
  <c r="L104" i="3"/>
  <c r="M103" i="3"/>
  <c r="N102" i="3"/>
  <c r="M101" i="3"/>
  <c r="J101" i="3"/>
  <c r="L98" i="3"/>
  <c r="N98" i="3" s="1"/>
  <c r="I98" i="3"/>
  <c r="L92" i="3"/>
  <c r="M91" i="3"/>
  <c r="N90" i="3"/>
  <c r="M89" i="3"/>
  <c r="J89" i="3"/>
  <c r="J84" i="3"/>
  <c r="I83" i="3"/>
  <c r="I74" i="3" s="1"/>
  <c r="L77" i="3"/>
  <c r="M76" i="3"/>
  <c r="N75" i="3"/>
  <c r="M74" i="3"/>
  <c r="J74" i="3"/>
  <c r="M73" i="3"/>
  <c r="L72" i="3"/>
  <c r="N72" i="3" s="1"/>
  <c r="M71" i="3"/>
  <c r="N70" i="3"/>
  <c r="M68" i="3"/>
  <c r="J68" i="3"/>
  <c r="I62" i="3"/>
  <c r="L56" i="3"/>
  <c r="N56" i="3" s="1"/>
  <c r="L55" i="3"/>
  <c r="M54" i="3"/>
  <c r="N53" i="3"/>
  <c r="M52" i="3"/>
  <c r="J52" i="3"/>
  <c r="I48" i="3"/>
  <c r="K48" i="3" s="1"/>
  <c r="I47" i="3"/>
  <c r="K47" i="3" s="1"/>
  <c r="I46" i="3"/>
  <c r="K46" i="3" s="1"/>
  <c r="I45" i="3"/>
  <c r="K45" i="3" s="1"/>
  <c r="I44" i="3"/>
  <c r="I43" i="3"/>
  <c r="K43" i="3" s="1"/>
  <c r="L37" i="3"/>
  <c r="N37" i="3" s="1"/>
  <c r="L36" i="3"/>
  <c r="N36" i="3" s="1"/>
  <c r="M35" i="3"/>
  <c r="M32" i="3" s="1"/>
  <c r="L35" i="3"/>
  <c r="N35" i="3" s="1"/>
  <c r="N34" i="3"/>
  <c r="J33" i="3"/>
  <c r="I33" i="3"/>
  <c r="K33" i="3" s="1"/>
  <c r="J32" i="3"/>
  <c r="I28" i="3"/>
  <c r="K28" i="3" s="1"/>
  <c r="I27" i="3"/>
  <c r="K27" i="3" s="1"/>
  <c r="I26" i="3"/>
  <c r="K26" i="3" s="1"/>
  <c r="I25" i="3"/>
  <c r="K25" i="3" s="1"/>
  <c r="I24" i="3"/>
  <c r="K24" i="3" s="1"/>
  <c r="I23" i="3"/>
  <c r="K23" i="3" s="1"/>
  <c r="I22" i="3"/>
  <c r="J21" i="3"/>
  <c r="J20" i="3"/>
  <c r="L14" i="3"/>
  <c r="N14" i="3" s="1"/>
  <c r="L13" i="3"/>
  <c r="N13" i="3" s="1"/>
  <c r="M12" i="3"/>
  <c r="L12" i="3"/>
  <c r="L9" i="3" s="1"/>
  <c r="N11" i="3"/>
  <c r="J10" i="3"/>
  <c r="J9" i="3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17" i="2"/>
  <c r="I517" i="2"/>
  <c r="J514" i="2"/>
  <c r="I514" i="2"/>
  <c r="I513" i="2"/>
  <c r="K519" i="2" s="1"/>
  <c r="J510" i="2"/>
  <c r="I510" i="2"/>
  <c r="J504" i="2"/>
  <c r="J490" i="2" s="1"/>
  <c r="I504" i="2"/>
  <c r="M494" i="2"/>
  <c r="L494" i="2"/>
  <c r="N494" i="2" s="1"/>
  <c r="L493" i="2"/>
  <c r="M492" i="2"/>
  <c r="N491" i="2"/>
  <c r="M490" i="2"/>
  <c r="J489" i="2"/>
  <c r="I489" i="2"/>
  <c r="K489" i="2" s="1"/>
  <c r="J488" i="2"/>
  <c r="J473" i="2" s="1"/>
  <c r="I488" i="2"/>
  <c r="K488" i="2" s="1"/>
  <c r="J487" i="2"/>
  <c r="I487" i="2"/>
  <c r="K487" i="2" s="1"/>
  <c r="J486" i="2"/>
  <c r="I486" i="2"/>
  <c r="J485" i="2"/>
  <c r="I485" i="2"/>
  <c r="K485" i="2" s="1"/>
  <c r="J484" i="2"/>
  <c r="I484" i="2"/>
  <c r="K484" i="2" s="1"/>
  <c r="J483" i="2"/>
  <c r="I483" i="2"/>
  <c r="K483" i="2" s="1"/>
  <c r="J482" i="2"/>
  <c r="I482" i="2"/>
  <c r="M477" i="2"/>
  <c r="L477" i="2"/>
  <c r="N477" i="2" s="1"/>
  <c r="L476" i="2"/>
  <c r="M475" i="2"/>
  <c r="N474" i="2"/>
  <c r="M473" i="2"/>
  <c r="K472" i="2"/>
  <c r="K471" i="2"/>
  <c r="K470" i="2"/>
  <c r="K469" i="2"/>
  <c r="K468" i="2"/>
  <c r="J466" i="2"/>
  <c r="I466" i="2"/>
  <c r="M461" i="2"/>
  <c r="L461" i="2"/>
  <c r="L460" i="2"/>
  <c r="N458" i="2"/>
  <c r="J457" i="2"/>
  <c r="I456" i="2"/>
  <c r="I455" i="2"/>
  <c r="K455" i="2" s="1"/>
  <c r="I454" i="2"/>
  <c r="I453" i="2"/>
  <c r="K453" i="2" s="1"/>
  <c r="M448" i="2"/>
  <c r="L448" i="2"/>
  <c r="L447" i="2"/>
  <c r="N447" i="2" s="1"/>
  <c r="M446" i="2"/>
  <c r="N445" i="2"/>
  <c r="J444" i="2"/>
  <c r="I441" i="2"/>
  <c r="K441" i="2" s="1"/>
  <c r="I440" i="2"/>
  <c r="M430" i="2"/>
  <c r="L430" i="2"/>
  <c r="N430" i="2" s="1"/>
  <c r="L429" i="2"/>
  <c r="M428" i="2"/>
  <c r="N427" i="2"/>
  <c r="M426" i="2"/>
  <c r="J426" i="2"/>
  <c r="J417" i="2"/>
  <c r="I419" i="2" s="1"/>
  <c r="J416" i="2"/>
  <c r="I418" i="2" s="1"/>
  <c r="J415" i="2"/>
  <c r="J414" i="2"/>
  <c r="J413" i="2"/>
  <c r="J412" i="2"/>
  <c r="I411" i="2"/>
  <c r="I410" i="2"/>
  <c r="I409" i="2"/>
  <c r="K408" i="2"/>
  <c r="K407" i="2"/>
  <c r="K406" i="2"/>
  <c r="K405" i="2"/>
  <c r="K404" i="2"/>
  <c r="K403" i="2"/>
  <c r="K402" i="2"/>
  <c r="J402" i="2"/>
  <c r="K401" i="2"/>
  <c r="J401" i="2"/>
  <c r="K400" i="2"/>
  <c r="K399" i="2"/>
  <c r="K398" i="2"/>
  <c r="K397" i="2"/>
  <c r="K396" i="2"/>
  <c r="K395" i="2"/>
  <c r="K394" i="2"/>
  <c r="J394" i="2"/>
  <c r="J394" i="1" s="1"/>
  <c r="K393" i="2"/>
  <c r="J393" i="2"/>
  <c r="J392" i="2"/>
  <c r="I392" i="2"/>
  <c r="K392" i="2" s="1"/>
  <c r="I391" i="2"/>
  <c r="K391" i="2" s="1"/>
  <c r="I390" i="2"/>
  <c r="K389" i="2"/>
  <c r="K388" i="2"/>
  <c r="K387" i="2"/>
  <c r="K386" i="2"/>
  <c r="K385" i="2"/>
  <c r="K384" i="2"/>
  <c r="K383" i="2"/>
  <c r="J383" i="2"/>
  <c r="K382" i="2"/>
  <c r="J382" i="2"/>
  <c r="K381" i="2"/>
  <c r="K380" i="2"/>
  <c r="K379" i="2"/>
  <c r="K378" i="2"/>
  <c r="J376" i="2"/>
  <c r="K375" i="2"/>
  <c r="K374" i="2"/>
  <c r="K373" i="2"/>
  <c r="K372" i="2"/>
  <c r="K371" i="2"/>
  <c r="K370" i="2"/>
  <c r="J369" i="2"/>
  <c r="J368" i="2"/>
  <c r="K367" i="2"/>
  <c r="K366" i="2"/>
  <c r="K365" i="2"/>
  <c r="K364" i="2"/>
  <c r="K363" i="2"/>
  <c r="K362" i="2"/>
  <c r="J361" i="2"/>
  <c r="I361" i="2"/>
  <c r="I377" i="2" s="1"/>
  <c r="J360" i="2"/>
  <c r="I360" i="2"/>
  <c r="K360" i="2" s="1"/>
  <c r="J359" i="2"/>
  <c r="I359" i="2"/>
  <c r="I376" i="2" s="1"/>
  <c r="K376" i="2" s="1"/>
  <c r="M354" i="2"/>
  <c r="L354" i="2"/>
  <c r="L353" i="2"/>
  <c r="N351" i="2"/>
  <c r="J350" i="2"/>
  <c r="I347" i="2"/>
  <c r="I346" i="2"/>
  <c r="K346" i="2" s="1"/>
  <c r="I345" i="2"/>
  <c r="J344" i="2"/>
  <c r="M334" i="2"/>
  <c r="L334" i="2"/>
  <c r="L333" i="2"/>
  <c r="N331" i="2"/>
  <c r="J330" i="2"/>
  <c r="I327" i="2"/>
  <c r="I326" i="2"/>
  <c r="J325" i="2"/>
  <c r="I324" i="2"/>
  <c r="K324" i="2" s="1"/>
  <c r="I323" i="2"/>
  <c r="I322" i="2"/>
  <c r="K322" i="2" s="1"/>
  <c r="J321" i="2"/>
  <c r="I321" i="2"/>
  <c r="I320" i="2"/>
  <c r="K320" i="2" s="1"/>
  <c r="I319" i="2"/>
  <c r="K319" i="2" s="1"/>
  <c r="I318" i="2"/>
  <c r="I317" i="2"/>
  <c r="K317" i="2" s="1"/>
  <c r="J316" i="2"/>
  <c r="I316" i="2"/>
  <c r="I315" i="2"/>
  <c r="K315" i="2" s="1"/>
  <c r="I314" i="2"/>
  <c r="I313" i="2"/>
  <c r="J312" i="2"/>
  <c r="I312" i="2"/>
  <c r="M301" i="2"/>
  <c r="L301" i="2"/>
  <c r="L300" i="2"/>
  <c r="N300" i="2" s="1"/>
  <c r="M299" i="2"/>
  <c r="N298" i="2"/>
  <c r="J296" i="2"/>
  <c r="I293" i="2"/>
  <c r="K293" i="2" s="1"/>
  <c r="I292" i="2"/>
  <c r="I275" i="2" s="1"/>
  <c r="K275" i="2" s="1"/>
  <c r="I291" i="2"/>
  <c r="I276" i="2" s="1"/>
  <c r="K276" i="2" s="1"/>
  <c r="M280" i="2"/>
  <c r="L280" i="2"/>
  <c r="L279" i="2"/>
  <c r="M278" i="2"/>
  <c r="M275" i="2" s="1"/>
  <c r="N277" i="2"/>
  <c r="J276" i="2"/>
  <c r="J275" i="2"/>
  <c r="I272" i="2"/>
  <c r="I271" i="2"/>
  <c r="K271" i="2" s="1"/>
  <c r="J270" i="2"/>
  <c r="J244" i="2" s="1"/>
  <c r="I268" i="2"/>
  <c r="K268" i="2" s="1"/>
  <c r="I266" i="2"/>
  <c r="K266" i="2" s="1"/>
  <c r="I264" i="2"/>
  <c r="J263" i="2"/>
  <c r="I263" i="2"/>
  <c r="J262" i="2"/>
  <c r="I260" i="2"/>
  <c r="K260" i="2" s="1"/>
  <c r="J259" i="2"/>
  <c r="M249" i="2"/>
  <c r="L249" i="2"/>
  <c r="N249" i="2" s="1"/>
  <c r="L248" i="2"/>
  <c r="M247" i="2"/>
  <c r="M244" i="2" s="1"/>
  <c r="N246" i="2"/>
  <c r="J245" i="2"/>
  <c r="K241" i="2"/>
  <c r="J241" i="2"/>
  <c r="J240" i="2"/>
  <c r="J228" i="2" s="1"/>
  <c r="I240" i="2"/>
  <c r="K239" i="2"/>
  <c r="J239" i="2"/>
  <c r="J238" i="2"/>
  <c r="I238" i="2"/>
  <c r="K237" i="2"/>
  <c r="J237" i="2"/>
  <c r="J236" i="2"/>
  <c r="I236" i="2"/>
  <c r="I228" i="2" s="1"/>
  <c r="J235" i="2"/>
  <c r="I235" i="2"/>
  <c r="K234" i="2"/>
  <c r="J234" i="2"/>
  <c r="L232" i="2"/>
  <c r="N232" i="2" s="1"/>
  <c r="L231" i="2"/>
  <c r="N231" i="2" s="1"/>
  <c r="M230" i="2"/>
  <c r="M228" i="2" s="1"/>
  <c r="M228" i="1" s="1"/>
  <c r="N229" i="2"/>
  <c r="I224" i="2"/>
  <c r="I214" i="2" s="1"/>
  <c r="K214" i="2" s="1"/>
  <c r="L218" i="2"/>
  <c r="N217" i="2"/>
  <c r="M216" i="2"/>
  <c r="N215" i="2"/>
  <c r="M214" i="2"/>
  <c r="J214" i="2"/>
  <c r="I211" i="2"/>
  <c r="K211" i="2" s="1"/>
  <c r="I209" i="2"/>
  <c r="I199" i="2" s="1"/>
  <c r="K199" i="2" s="1"/>
  <c r="L203" i="2"/>
  <c r="N203" i="2" s="1"/>
  <c r="N202" i="2"/>
  <c r="M201" i="2"/>
  <c r="N200" i="2"/>
  <c r="J199" i="2"/>
  <c r="I195" i="2"/>
  <c r="K195" i="2" s="1"/>
  <c r="L189" i="2"/>
  <c r="N189" i="2" s="1"/>
  <c r="L188" i="2"/>
  <c r="N188" i="2" s="1"/>
  <c r="M187" i="2"/>
  <c r="M185" i="2" s="1"/>
  <c r="N186" i="2"/>
  <c r="J185" i="2"/>
  <c r="I182" i="2"/>
  <c r="K182" i="2" s="1"/>
  <c r="I181" i="2"/>
  <c r="K181" i="2" s="1"/>
  <c r="I180" i="2"/>
  <c r="I169" i="2" s="1"/>
  <c r="K169" i="2" s="1"/>
  <c r="I179" i="2"/>
  <c r="K179" i="2" s="1"/>
  <c r="L173" i="2"/>
  <c r="N173" i="2" s="1"/>
  <c r="L172" i="2"/>
  <c r="M171" i="2"/>
  <c r="N170" i="2"/>
  <c r="M169" i="2"/>
  <c r="J169" i="2"/>
  <c r="K164" i="2"/>
  <c r="K158" i="2"/>
  <c r="J158" i="2"/>
  <c r="I158" i="2"/>
  <c r="I155" i="2"/>
  <c r="J149" i="2"/>
  <c r="J144" i="2" s="1"/>
  <c r="L148" i="2"/>
  <c r="N147" i="2"/>
  <c r="M146" i="2"/>
  <c r="N145" i="2"/>
  <c r="M144" i="2"/>
  <c r="L141" i="2"/>
  <c r="N141" i="2" s="1"/>
  <c r="I141" i="2"/>
  <c r="K141" i="2" s="1"/>
  <c r="L140" i="2"/>
  <c r="N140" i="2" s="1"/>
  <c r="I140" i="2"/>
  <c r="K140" i="2" s="1"/>
  <c r="L138" i="2"/>
  <c r="N138" i="2" s="1"/>
  <c r="I138" i="2"/>
  <c r="L132" i="2"/>
  <c r="L131" i="2" s="1"/>
  <c r="M131" i="2"/>
  <c r="M129" i="2" s="1"/>
  <c r="M129" i="1" s="1"/>
  <c r="N130" i="2"/>
  <c r="J129" i="2"/>
  <c r="L126" i="2"/>
  <c r="N126" i="2" s="1"/>
  <c r="I126" i="2"/>
  <c r="L125" i="2"/>
  <c r="N125" i="2" s="1"/>
  <c r="I125" i="2"/>
  <c r="I124" i="2"/>
  <c r="K124" i="2" s="1"/>
  <c r="L117" i="2"/>
  <c r="M116" i="2"/>
  <c r="N115" i="2"/>
  <c r="M114" i="2"/>
  <c r="J114" i="2"/>
  <c r="J114" i="1" s="1"/>
  <c r="L111" i="2"/>
  <c r="N111" i="2" s="1"/>
  <c r="I111" i="2"/>
  <c r="K111" i="2" s="1"/>
  <c r="L110" i="2"/>
  <c r="N110" i="2" s="1"/>
  <c r="I110" i="2"/>
  <c r="K110" i="2" s="1"/>
  <c r="L104" i="2"/>
  <c r="M103" i="2"/>
  <c r="N102" i="2"/>
  <c r="M101" i="2"/>
  <c r="J101" i="2"/>
  <c r="L98" i="2"/>
  <c r="N98" i="2" s="1"/>
  <c r="I98" i="2"/>
  <c r="I89" i="2" s="1"/>
  <c r="L92" i="2"/>
  <c r="M91" i="2"/>
  <c r="N90" i="2"/>
  <c r="M89" i="2"/>
  <c r="J89" i="2"/>
  <c r="J84" i="2"/>
  <c r="I83" i="2"/>
  <c r="K83" i="2" s="1"/>
  <c r="L77" i="2"/>
  <c r="M76" i="2"/>
  <c r="N75" i="2"/>
  <c r="M74" i="2"/>
  <c r="J74" i="2"/>
  <c r="M73" i="2"/>
  <c r="L72" i="2"/>
  <c r="N72" i="2" s="1"/>
  <c r="M71" i="2"/>
  <c r="M68" i="2" s="1"/>
  <c r="N70" i="2"/>
  <c r="J68" i="2"/>
  <c r="I62" i="2"/>
  <c r="L56" i="2"/>
  <c r="N56" i="2" s="1"/>
  <c r="L55" i="2"/>
  <c r="M54" i="2"/>
  <c r="N53" i="2"/>
  <c r="M52" i="2"/>
  <c r="J52" i="2"/>
  <c r="I48" i="2"/>
  <c r="K48" i="2" s="1"/>
  <c r="I47" i="2"/>
  <c r="K47" i="2" s="1"/>
  <c r="I46" i="2"/>
  <c r="K46" i="2" s="1"/>
  <c r="I45" i="2"/>
  <c r="K45" i="2" s="1"/>
  <c r="I44" i="2"/>
  <c r="I43" i="2"/>
  <c r="K43" i="2" s="1"/>
  <c r="L37" i="2"/>
  <c r="N37" i="2" s="1"/>
  <c r="L36" i="2"/>
  <c r="N36" i="2" s="1"/>
  <c r="M35" i="2"/>
  <c r="M32" i="2" s="1"/>
  <c r="L35" i="2"/>
  <c r="N35" i="2" s="1"/>
  <c r="N34" i="2"/>
  <c r="J33" i="2"/>
  <c r="J33" i="1" s="1"/>
  <c r="I33" i="2"/>
  <c r="J32" i="2"/>
  <c r="I28" i="2"/>
  <c r="K28" i="2" s="1"/>
  <c r="I27" i="2"/>
  <c r="K27" i="2" s="1"/>
  <c r="I26" i="2"/>
  <c r="K26" i="2" s="1"/>
  <c r="I25" i="2"/>
  <c r="K25" i="2" s="1"/>
  <c r="I24" i="2"/>
  <c r="K24" i="2" s="1"/>
  <c r="I23" i="2"/>
  <c r="K23" i="2" s="1"/>
  <c r="I22" i="2"/>
  <c r="J21" i="2"/>
  <c r="J20" i="2"/>
  <c r="J9" i="2" s="1"/>
  <c r="L14" i="2"/>
  <c r="N14" i="2" s="1"/>
  <c r="L13" i="2"/>
  <c r="N13" i="2" s="1"/>
  <c r="M12" i="2"/>
  <c r="M9" i="2" s="1"/>
  <c r="L12" i="2"/>
  <c r="L9" i="2" s="1"/>
  <c r="N11" i="2"/>
  <c r="J10" i="2"/>
  <c r="J519" i="1"/>
  <c r="J518" i="1"/>
  <c r="J517" i="1"/>
  <c r="J516" i="1"/>
  <c r="J515" i="1"/>
  <c r="J512" i="1"/>
  <c r="J511" i="1"/>
  <c r="J510" i="1"/>
  <c r="J509" i="1"/>
  <c r="J508" i="1"/>
  <c r="J507" i="1"/>
  <c r="J506" i="1"/>
  <c r="J505" i="1"/>
  <c r="J503" i="1"/>
  <c r="J502" i="1"/>
  <c r="J501" i="1"/>
  <c r="J500" i="1"/>
  <c r="M498" i="1"/>
  <c r="M497" i="1"/>
  <c r="M496" i="1"/>
  <c r="M495" i="1"/>
  <c r="M493" i="1"/>
  <c r="M491" i="1"/>
  <c r="L491" i="1"/>
  <c r="N491" i="1" s="1"/>
  <c r="M481" i="1"/>
  <c r="M480" i="1"/>
  <c r="M479" i="1"/>
  <c r="M478" i="1"/>
  <c r="M477" i="1"/>
  <c r="M476" i="1"/>
  <c r="N474" i="1"/>
  <c r="M474" i="1"/>
  <c r="L474" i="1"/>
  <c r="J472" i="1"/>
  <c r="I472" i="1"/>
  <c r="K472" i="1" s="1"/>
  <c r="K471" i="1"/>
  <c r="J471" i="1"/>
  <c r="I471" i="1"/>
  <c r="K470" i="1"/>
  <c r="J470" i="1"/>
  <c r="I470" i="1"/>
  <c r="J469" i="1"/>
  <c r="I469" i="1"/>
  <c r="K469" i="1" s="1"/>
  <c r="J468" i="1"/>
  <c r="I468" i="1"/>
  <c r="K468" i="1" s="1"/>
  <c r="J466" i="1"/>
  <c r="M465" i="1"/>
  <c r="M464" i="1"/>
  <c r="M463" i="1"/>
  <c r="M462" i="1"/>
  <c r="M460" i="1"/>
  <c r="N458" i="1"/>
  <c r="M458" i="1"/>
  <c r="L458" i="1"/>
  <c r="J456" i="1"/>
  <c r="J455" i="1"/>
  <c r="J454" i="1"/>
  <c r="J453" i="1"/>
  <c r="M452" i="1"/>
  <c r="M451" i="1"/>
  <c r="M450" i="1"/>
  <c r="M449" i="1"/>
  <c r="M447" i="1"/>
  <c r="N445" i="1"/>
  <c r="M445" i="1"/>
  <c r="L445" i="1"/>
  <c r="J444" i="1"/>
  <c r="J443" i="1"/>
  <c r="J442" i="1"/>
  <c r="J441" i="1"/>
  <c r="J440" i="1"/>
  <c r="J439" i="1"/>
  <c r="J438" i="1"/>
  <c r="J437" i="1"/>
  <c r="J436" i="1"/>
  <c r="M434" i="1"/>
  <c r="M433" i="1"/>
  <c r="M432" i="1"/>
  <c r="M431" i="1"/>
  <c r="M430" i="1"/>
  <c r="M429" i="1"/>
  <c r="M427" i="1"/>
  <c r="L427" i="1"/>
  <c r="N427" i="1" s="1"/>
  <c r="J426" i="1"/>
  <c r="K425" i="1"/>
  <c r="J425" i="1"/>
  <c r="K424" i="1"/>
  <c r="J424" i="1"/>
  <c r="K423" i="1"/>
  <c r="J423" i="1"/>
  <c r="K422" i="1"/>
  <c r="J422" i="1"/>
  <c r="K421" i="1"/>
  <c r="J421" i="1"/>
  <c r="K420" i="1"/>
  <c r="J420" i="1"/>
  <c r="J419" i="1"/>
  <c r="J418" i="1"/>
  <c r="K417" i="1"/>
  <c r="K416" i="1"/>
  <c r="K415" i="1"/>
  <c r="K414" i="1"/>
  <c r="K413" i="1"/>
  <c r="K412" i="1"/>
  <c r="J411" i="1"/>
  <c r="J410" i="1"/>
  <c r="J409" i="1"/>
  <c r="K408" i="1"/>
  <c r="J408" i="1"/>
  <c r="K407" i="1"/>
  <c r="J407" i="1"/>
  <c r="K406" i="1"/>
  <c r="J406" i="1"/>
  <c r="K405" i="1"/>
  <c r="J405" i="1"/>
  <c r="K404" i="1"/>
  <c r="J404" i="1"/>
  <c r="K403" i="1"/>
  <c r="J403" i="1"/>
  <c r="K402" i="1"/>
  <c r="J402" i="1"/>
  <c r="K401" i="1"/>
  <c r="K400" i="1"/>
  <c r="J400" i="1"/>
  <c r="K399" i="1"/>
  <c r="J399" i="1"/>
  <c r="K398" i="1"/>
  <c r="J398" i="1"/>
  <c r="K397" i="1"/>
  <c r="J397" i="1"/>
  <c r="K396" i="1"/>
  <c r="J396" i="1"/>
  <c r="K395" i="1"/>
  <c r="J395" i="1"/>
  <c r="K394" i="1"/>
  <c r="K393" i="1"/>
  <c r="K389" i="1"/>
  <c r="J389" i="1"/>
  <c r="K388" i="1"/>
  <c r="J388" i="1"/>
  <c r="K387" i="1"/>
  <c r="J387" i="1"/>
  <c r="K386" i="1"/>
  <c r="J386" i="1"/>
  <c r="K385" i="1"/>
  <c r="J385" i="1"/>
  <c r="K384" i="1"/>
  <c r="J384" i="1"/>
  <c r="K383" i="1"/>
  <c r="K382" i="1"/>
  <c r="K381" i="1"/>
  <c r="J381" i="1"/>
  <c r="K380" i="1"/>
  <c r="J380" i="1"/>
  <c r="K379" i="1"/>
  <c r="J379" i="1"/>
  <c r="K378" i="1"/>
  <c r="J378" i="1"/>
  <c r="K375" i="1"/>
  <c r="J375" i="1"/>
  <c r="K374" i="1"/>
  <c r="J374" i="1"/>
  <c r="K373" i="1"/>
  <c r="J373" i="1"/>
  <c r="K372" i="1"/>
  <c r="J372" i="1"/>
  <c r="K371" i="1"/>
  <c r="J371" i="1"/>
  <c r="K370" i="1"/>
  <c r="J370" i="1"/>
  <c r="J368" i="1"/>
  <c r="K367" i="1"/>
  <c r="J367" i="1"/>
  <c r="K366" i="1"/>
  <c r="J366" i="1"/>
  <c r="K365" i="1"/>
  <c r="J365" i="1"/>
  <c r="K364" i="1"/>
  <c r="J364" i="1"/>
  <c r="K363" i="1"/>
  <c r="J363" i="1"/>
  <c r="K362" i="1"/>
  <c r="J362" i="1"/>
  <c r="J361" i="1"/>
  <c r="J360" i="1"/>
  <c r="M358" i="1"/>
  <c r="M357" i="1"/>
  <c r="M356" i="1"/>
  <c r="M355" i="1"/>
  <c r="M353" i="1"/>
  <c r="M351" i="1"/>
  <c r="L351" i="1"/>
  <c r="N351" i="1" s="1"/>
  <c r="J349" i="1"/>
  <c r="J348" i="1"/>
  <c r="J347" i="1"/>
  <c r="J346" i="1"/>
  <c r="J345" i="1"/>
  <c r="J343" i="1"/>
  <c r="J342" i="1"/>
  <c r="J341" i="1"/>
  <c r="J340" i="1"/>
  <c r="M338" i="1"/>
  <c r="M337" i="1"/>
  <c r="M336" i="1"/>
  <c r="M335" i="1"/>
  <c r="M333" i="1"/>
  <c r="M331" i="1"/>
  <c r="L331" i="1"/>
  <c r="N331" i="1" s="1"/>
  <c r="J329" i="1"/>
  <c r="J328" i="1"/>
  <c r="J327" i="1"/>
  <c r="J326" i="1"/>
  <c r="J324" i="1"/>
  <c r="J323" i="1"/>
  <c r="J322" i="1"/>
  <c r="J321" i="1"/>
  <c r="J320" i="1"/>
  <c r="J319" i="1"/>
  <c r="J318" i="1"/>
  <c r="J317" i="1"/>
  <c r="J315" i="1"/>
  <c r="J314" i="1"/>
  <c r="J313" i="1"/>
  <c r="J310" i="1"/>
  <c r="J309" i="1"/>
  <c r="J308" i="1"/>
  <c r="J307" i="1"/>
  <c r="M305" i="1"/>
  <c r="M304" i="1"/>
  <c r="M303" i="1"/>
  <c r="M302" i="1"/>
  <c r="M301" i="1"/>
  <c r="M300" i="1"/>
  <c r="N298" i="1"/>
  <c r="M298" i="1"/>
  <c r="L298" i="1"/>
  <c r="J296" i="1"/>
  <c r="J295" i="1"/>
  <c r="J294" i="1"/>
  <c r="J293" i="1"/>
  <c r="J292" i="1"/>
  <c r="J291" i="1"/>
  <c r="J289" i="1"/>
  <c r="J288" i="1"/>
  <c r="J287" i="1"/>
  <c r="J286" i="1"/>
  <c r="M284" i="1"/>
  <c r="M283" i="1"/>
  <c r="M282" i="1"/>
  <c r="M281" i="1"/>
  <c r="M280" i="1"/>
  <c r="M279" i="1"/>
  <c r="M277" i="1"/>
  <c r="L277" i="1"/>
  <c r="N277" i="1" s="1"/>
  <c r="J275" i="1"/>
  <c r="J274" i="1"/>
  <c r="J273" i="1"/>
  <c r="J272" i="1"/>
  <c r="J271" i="1"/>
  <c r="J268" i="1"/>
  <c r="J267" i="1"/>
  <c r="J266" i="1"/>
  <c r="J265" i="1"/>
  <c r="J264" i="1"/>
  <c r="J263" i="1"/>
  <c r="J262" i="1"/>
  <c r="J260" i="1"/>
  <c r="J258" i="1"/>
  <c r="J257" i="1"/>
  <c r="J256" i="1"/>
  <c r="J255" i="1"/>
  <c r="M253" i="1"/>
  <c r="M252" i="1"/>
  <c r="M251" i="1"/>
  <c r="M250" i="1"/>
  <c r="M249" i="1"/>
  <c r="M248" i="1"/>
  <c r="M247" i="1"/>
  <c r="M246" i="1"/>
  <c r="L246" i="1"/>
  <c r="N246" i="1" s="1"/>
  <c r="J244" i="1"/>
  <c r="I241" i="1"/>
  <c r="K241" i="1" s="1"/>
  <c r="K239" i="1"/>
  <c r="I239" i="1"/>
  <c r="I237" i="1"/>
  <c r="K237" i="1" s="1"/>
  <c r="I234" i="1"/>
  <c r="K234" i="1" s="1"/>
  <c r="M232" i="1"/>
  <c r="M231" i="1"/>
  <c r="M230" i="1"/>
  <c r="M229" i="1"/>
  <c r="L229" i="1"/>
  <c r="N229" i="1" s="1"/>
  <c r="J226" i="1"/>
  <c r="J225" i="1"/>
  <c r="J224" i="1"/>
  <c r="J223" i="1"/>
  <c r="J222" i="1"/>
  <c r="J221" i="1"/>
  <c r="J220" i="1"/>
  <c r="M218" i="1"/>
  <c r="N217" i="1"/>
  <c r="M217" i="1"/>
  <c r="L217" i="1"/>
  <c r="M216" i="1"/>
  <c r="M215" i="1"/>
  <c r="L215" i="1"/>
  <c r="N215" i="1" s="1"/>
  <c r="M214" i="1"/>
  <c r="J214" i="1"/>
  <c r="J213" i="1"/>
  <c r="J212" i="1"/>
  <c r="J211" i="1"/>
  <c r="J209" i="1"/>
  <c r="J208" i="1"/>
  <c r="J207" i="1"/>
  <c r="J206" i="1"/>
  <c r="J205" i="1"/>
  <c r="M203" i="1"/>
  <c r="M202" i="1"/>
  <c r="L202" i="1"/>
  <c r="N202" i="1" s="1"/>
  <c r="N200" i="1"/>
  <c r="M200" i="1"/>
  <c r="L200" i="1"/>
  <c r="J199" i="1"/>
  <c r="J197" i="1"/>
  <c r="J196" i="1"/>
  <c r="J195" i="1"/>
  <c r="J194" i="1"/>
  <c r="J193" i="1"/>
  <c r="J192" i="1"/>
  <c r="J191" i="1"/>
  <c r="M189" i="1"/>
  <c r="M188" i="1"/>
  <c r="M187" i="1"/>
  <c r="M186" i="1"/>
  <c r="L186" i="1"/>
  <c r="N186" i="1" s="1"/>
  <c r="M185" i="1"/>
  <c r="J185" i="1"/>
  <c r="J184" i="1"/>
  <c r="J183" i="1"/>
  <c r="J182" i="1"/>
  <c r="J181" i="1"/>
  <c r="J180" i="1"/>
  <c r="J179" i="1"/>
  <c r="J178" i="1"/>
  <c r="J177" i="1"/>
  <c r="J176" i="1"/>
  <c r="J175" i="1"/>
  <c r="M173" i="1"/>
  <c r="M172" i="1"/>
  <c r="M171" i="1"/>
  <c r="M170" i="1"/>
  <c r="L170" i="1"/>
  <c r="N170" i="1" s="1"/>
  <c r="M169" i="1"/>
  <c r="J166" i="1"/>
  <c r="J165" i="1"/>
  <c r="J164" i="1"/>
  <c r="I164" i="1"/>
  <c r="K164" i="1" s="1"/>
  <c r="J163" i="1"/>
  <c r="J162" i="1"/>
  <c r="J161" i="1"/>
  <c r="J160" i="1"/>
  <c r="K158" i="1"/>
  <c r="I158" i="1"/>
  <c r="J157" i="1"/>
  <c r="J156" i="1"/>
  <c r="J155" i="1"/>
  <c r="J153" i="1"/>
  <c r="J152" i="1"/>
  <c r="J151" i="1"/>
  <c r="J149" i="1"/>
  <c r="M148" i="1"/>
  <c r="M147" i="1"/>
  <c r="L147" i="1"/>
  <c r="N147" i="1" s="1"/>
  <c r="N145" i="1"/>
  <c r="M145" i="1"/>
  <c r="L145" i="1"/>
  <c r="J143" i="1"/>
  <c r="J142" i="1"/>
  <c r="J141" i="1"/>
  <c r="J140" i="1"/>
  <c r="J138" i="1"/>
  <c r="J137" i="1"/>
  <c r="J136" i="1"/>
  <c r="J135" i="1"/>
  <c r="J134" i="1"/>
  <c r="M132" i="1"/>
  <c r="M131" i="1"/>
  <c r="M130" i="1"/>
  <c r="L130" i="1"/>
  <c r="N130" i="1" s="1"/>
  <c r="J129" i="1"/>
  <c r="J128" i="1"/>
  <c r="J127" i="1"/>
  <c r="J125" i="1"/>
  <c r="J124" i="1"/>
  <c r="J122" i="1"/>
  <c r="J121" i="1"/>
  <c r="J120" i="1"/>
  <c r="J119" i="1"/>
  <c r="M117" i="1"/>
  <c r="M116" i="1"/>
  <c r="M115" i="1"/>
  <c r="L115" i="1"/>
  <c r="N115" i="1" s="1"/>
  <c r="M114" i="1"/>
  <c r="J113" i="1"/>
  <c r="J112" i="1"/>
  <c r="J111" i="1"/>
  <c r="J110" i="1"/>
  <c r="J109" i="1"/>
  <c r="J108" i="1"/>
  <c r="J107" i="1"/>
  <c r="J106" i="1"/>
  <c r="M104" i="1"/>
  <c r="M103" i="1"/>
  <c r="M102" i="1"/>
  <c r="L102" i="1"/>
  <c r="N102" i="1" s="1"/>
  <c r="M101" i="1"/>
  <c r="J101" i="1"/>
  <c r="J100" i="1"/>
  <c r="J99" i="1"/>
  <c r="J98" i="1"/>
  <c r="J97" i="1"/>
  <c r="J96" i="1"/>
  <c r="J95" i="1"/>
  <c r="J94" i="1"/>
  <c r="M92" i="1"/>
  <c r="M91" i="1"/>
  <c r="M90" i="1"/>
  <c r="L90" i="1"/>
  <c r="N90" i="1" s="1"/>
  <c r="J89" i="1"/>
  <c r="J88" i="1"/>
  <c r="J87" i="1"/>
  <c r="J86" i="1"/>
  <c r="J85" i="1"/>
  <c r="J84" i="1"/>
  <c r="K83" i="1"/>
  <c r="J83" i="1"/>
  <c r="J82" i="1"/>
  <c r="J81" i="1"/>
  <c r="J80" i="1"/>
  <c r="J79" i="1"/>
  <c r="M77" i="1"/>
  <c r="N75" i="1"/>
  <c r="M75" i="1"/>
  <c r="L75" i="1"/>
  <c r="J74" i="1"/>
  <c r="M72" i="1"/>
  <c r="M70" i="1"/>
  <c r="L70" i="1"/>
  <c r="N70" i="1" s="1"/>
  <c r="J65" i="1"/>
  <c r="J64" i="1"/>
  <c r="J63" i="1"/>
  <c r="J62" i="1"/>
  <c r="J61" i="1"/>
  <c r="J60" i="1"/>
  <c r="J59" i="1"/>
  <c r="J58" i="1"/>
  <c r="M56" i="1"/>
  <c r="M55" i="1"/>
  <c r="M54" i="1"/>
  <c r="N53" i="1"/>
  <c r="M53" i="1"/>
  <c r="L53" i="1"/>
  <c r="M52" i="1"/>
  <c r="J52" i="1"/>
  <c r="J50" i="1"/>
  <c r="J49" i="1"/>
  <c r="J48" i="1"/>
  <c r="J47" i="1"/>
  <c r="J46" i="1"/>
  <c r="J45" i="1"/>
  <c r="J44" i="1"/>
  <c r="J43" i="1"/>
  <c r="J42" i="1"/>
  <c r="J41" i="1"/>
  <c r="J40" i="1"/>
  <c r="J39" i="1"/>
  <c r="M37" i="1"/>
  <c r="M36" i="1"/>
  <c r="M35" i="1"/>
  <c r="M34" i="1"/>
  <c r="L34" i="1"/>
  <c r="N34" i="1" s="1"/>
  <c r="J32" i="1"/>
  <c r="J30" i="1"/>
  <c r="J29" i="1"/>
  <c r="K28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M14" i="1"/>
  <c r="M13" i="1"/>
  <c r="M12" i="1"/>
  <c r="M11" i="1"/>
  <c r="L11" i="1"/>
  <c r="N11" i="1" s="1"/>
  <c r="J10" i="1"/>
  <c r="J9" i="1"/>
  <c r="I276" i="9" l="1"/>
  <c r="K276" i="9" s="1"/>
  <c r="K523" i="22"/>
  <c r="L146" i="5"/>
  <c r="L144" i="5" s="1"/>
  <c r="N144" i="5" s="1"/>
  <c r="I89" i="9"/>
  <c r="K89" i="9" s="1"/>
  <c r="K238" i="5"/>
  <c r="L352" i="8"/>
  <c r="N352" i="8" s="1"/>
  <c r="L332" i="20"/>
  <c r="L330" i="20" s="1"/>
  <c r="N330" i="20" s="1"/>
  <c r="I101" i="5"/>
  <c r="K101" i="5" s="1"/>
  <c r="I129" i="8"/>
  <c r="K129" i="8" s="1"/>
  <c r="L146" i="15"/>
  <c r="N146" i="15" s="1"/>
  <c r="L32" i="3"/>
  <c r="N32" i="3" s="1"/>
  <c r="L54" i="22"/>
  <c r="N54" i="22" s="1"/>
  <c r="I149" i="10"/>
  <c r="K149" i="10" s="1"/>
  <c r="L216" i="9"/>
  <c r="N216" i="9" s="1"/>
  <c r="I214" i="17"/>
  <c r="K214" i="17" s="1"/>
  <c r="L299" i="14"/>
  <c r="N299" i="14" s="1"/>
  <c r="I296" i="2"/>
  <c r="K296" i="2" s="1"/>
  <c r="I473" i="3"/>
  <c r="K473" i="3" s="1"/>
  <c r="K440" i="5"/>
  <c r="N203" i="15"/>
  <c r="I275" i="15"/>
  <c r="K275" i="15" s="1"/>
  <c r="K361" i="21"/>
  <c r="L76" i="13"/>
  <c r="L74" i="13" s="1"/>
  <c r="N74" i="13" s="1"/>
  <c r="K440" i="16"/>
  <c r="I350" i="17"/>
  <c r="K350" i="17" s="1"/>
  <c r="L171" i="17"/>
  <c r="L169" i="17" s="1"/>
  <c r="N169" i="17" s="1"/>
  <c r="K240" i="18"/>
  <c r="I101" i="2"/>
  <c r="K101" i="2" s="1"/>
  <c r="J237" i="1"/>
  <c r="I466" i="1"/>
  <c r="K466" i="1" s="1"/>
  <c r="K240" i="5"/>
  <c r="I275" i="10"/>
  <c r="K275" i="10" s="1"/>
  <c r="K525" i="16"/>
  <c r="K228" i="17"/>
  <c r="K528" i="22"/>
  <c r="K440" i="4"/>
  <c r="L91" i="21"/>
  <c r="N91" i="21" s="1"/>
  <c r="N201" i="15"/>
  <c r="L199" i="15"/>
  <c r="N199" i="15" s="1"/>
  <c r="L230" i="3"/>
  <c r="N230" i="3" s="1"/>
  <c r="K291" i="7"/>
  <c r="K361" i="7"/>
  <c r="N203" i="12"/>
  <c r="I270" i="14"/>
  <c r="K270" i="14" s="1"/>
  <c r="K513" i="14"/>
  <c r="K484" i="17"/>
  <c r="L9" i="19"/>
  <c r="N9" i="19" s="1"/>
  <c r="K236" i="20"/>
  <c r="L32" i="21"/>
  <c r="N32" i="21" s="1"/>
  <c r="L172" i="1"/>
  <c r="N172" i="1" s="1"/>
  <c r="K521" i="3"/>
  <c r="I473" i="10"/>
  <c r="K473" i="10" s="1"/>
  <c r="L492" i="14"/>
  <c r="N492" i="14" s="1"/>
  <c r="N77" i="15"/>
  <c r="I199" i="15"/>
  <c r="K199" i="15" s="1"/>
  <c r="L9" i="16"/>
  <c r="N9" i="16" s="1"/>
  <c r="I101" i="18"/>
  <c r="K101" i="18" s="1"/>
  <c r="I199" i="18"/>
  <c r="K199" i="18" s="1"/>
  <c r="L216" i="18"/>
  <c r="N216" i="18" s="1"/>
  <c r="L32" i="19"/>
  <c r="N32" i="19" s="1"/>
  <c r="I275" i="21"/>
  <c r="K275" i="21" s="1"/>
  <c r="I101" i="22"/>
  <c r="K101" i="22" s="1"/>
  <c r="I275" i="22"/>
  <c r="K275" i="22" s="1"/>
  <c r="I169" i="5"/>
  <c r="K169" i="5" s="1"/>
  <c r="L146" i="9"/>
  <c r="N146" i="9" s="1"/>
  <c r="I376" i="11"/>
  <c r="K376" i="11" s="1"/>
  <c r="L216" i="13"/>
  <c r="L216" i="14"/>
  <c r="N216" i="14" s="1"/>
  <c r="L247" i="14"/>
  <c r="L244" i="14" s="1"/>
  <c r="K505" i="14"/>
  <c r="L32" i="17"/>
  <c r="N32" i="17" s="1"/>
  <c r="I444" i="18"/>
  <c r="K444" i="18" s="1"/>
  <c r="K521" i="18"/>
  <c r="I21" i="19"/>
  <c r="I101" i="3"/>
  <c r="K101" i="3" s="1"/>
  <c r="K525" i="3"/>
  <c r="I490" i="4"/>
  <c r="I368" i="5"/>
  <c r="K368" i="5" s="1"/>
  <c r="I101" i="6"/>
  <c r="K101" i="6" s="1"/>
  <c r="I101" i="7"/>
  <c r="K101" i="7" s="1"/>
  <c r="I169" i="7"/>
  <c r="K169" i="7" s="1"/>
  <c r="K527" i="7"/>
  <c r="L32" i="9"/>
  <c r="N32" i="9" s="1"/>
  <c r="L428" i="10"/>
  <c r="L426" i="10" s="1"/>
  <c r="N426" i="10" s="1"/>
  <c r="K235" i="11"/>
  <c r="I214" i="12"/>
  <c r="K214" i="12" s="1"/>
  <c r="I214" i="7"/>
  <c r="K214" i="7" s="1"/>
  <c r="K528" i="15"/>
  <c r="K522" i="20"/>
  <c r="L77" i="1"/>
  <c r="N77" i="1" s="1"/>
  <c r="L428" i="12"/>
  <c r="N428" i="12" s="1"/>
  <c r="L201" i="16"/>
  <c r="L201" i="2"/>
  <c r="L199" i="2" s="1"/>
  <c r="K292" i="2"/>
  <c r="L299" i="2"/>
  <c r="L296" i="2" s="1"/>
  <c r="N296" i="2" s="1"/>
  <c r="L354" i="1"/>
  <c r="J412" i="1"/>
  <c r="I20" i="3"/>
  <c r="K20" i="3" s="1"/>
  <c r="K505" i="4"/>
  <c r="I297" i="5"/>
  <c r="K297" i="5" s="1"/>
  <c r="K507" i="5"/>
  <c r="N92" i="9"/>
  <c r="I68" i="9"/>
  <c r="K155" i="9"/>
  <c r="K528" i="9"/>
  <c r="I350" i="11"/>
  <c r="K350" i="11" s="1"/>
  <c r="K359" i="11"/>
  <c r="K522" i="11"/>
  <c r="K83" i="16"/>
  <c r="K83" i="17"/>
  <c r="K138" i="17"/>
  <c r="N117" i="18"/>
  <c r="K25" i="19"/>
  <c r="I74" i="20"/>
  <c r="K74" i="20" s="1"/>
  <c r="K528" i="20"/>
  <c r="L187" i="21"/>
  <c r="L185" i="21" s="1"/>
  <c r="N185" i="21" s="1"/>
  <c r="K359" i="22"/>
  <c r="I199" i="4"/>
  <c r="K199" i="4" s="1"/>
  <c r="I52" i="18"/>
  <c r="K52" i="18" s="1"/>
  <c r="I110" i="1"/>
  <c r="K110" i="1" s="1"/>
  <c r="K509" i="4"/>
  <c r="I74" i="7"/>
  <c r="K74" i="7" s="1"/>
  <c r="L248" i="1"/>
  <c r="N248" i="1" s="1"/>
  <c r="L332" i="8"/>
  <c r="L330" i="8" s="1"/>
  <c r="N330" i="8" s="1"/>
  <c r="K521" i="8"/>
  <c r="K523" i="8"/>
  <c r="I214" i="9"/>
  <c r="K214" i="9" s="1"/>
  <c r="I344" i="9"/>
  <c r="I330" i="9" s="1"/>
  <c r="K330" i="9" s="1"/>
  <c r="N35" i="10"/>
  <c r="I262" i="10"/>
  <c r="I244" i="10" s="1"/>
  <c r="K244" i="10" s="1"/>
  <c r="K521" i="10"/>
  <c r="K525" i="10"/>
  <c r="K527" i="10"/>
  <c r="I245" i="12"/>
  <c r="K245" i="12" s="1"/>
  <c r="K263" i="12"/>
  <c r="K518" i="12"/>
  <c r="K391" i="16"/>
  <c r="K518" i="18"/>
  <c r="I426" i="20"/>
  <c r="K426" i="20" s="1"/>
  <c r="I325" i="2"/>
  <c r="K325" i="2" s="1"/>
  <c r="I391" i="1"/>
  <c r="J526" i="1"/>
  <c r="K235" i="4"/>
  <c r="I211" i="1"/>
  <c r="K211" i="1" s="1"/>
  <c r="L492" i="11"/>
  <c r="L490" i="11" s="1"/>
  <c r="N490" i="11" s="1"/>
  <c r="L230" i="14"/>
  <c r="L228" i="14" s="1"/>
  <c r="N228" i="14" s="1"/>
  <c r="K235" i="14"/>
  <c r="L216" i="16"/>
  <c r="N216" i="16" s="1"/>
  <c r="K238" i="16"/>
  <c r="K528" i="16"/>
  <c r="L103" i="17"/>
  <c r="K516" i="18"/>
  <c r="K522" i="18"/>
  <c r="K524" i="18"/>
  <c r="K482" i="19"/>
  <c r="K486" i="19"/>
  <c r="I169" i="20"/>
  <c r="K169" i="20" s="1"/>
  <c r="L201" i="20"/>
  <c r="N201" i="20" s="1"/>
  <c r="I199" i="21"/>
  <c r="K199" i="21" s="1"/>
  <c r="K528" i="21"/>
  <c r="L32" i="2"/>
  <c r="N32" i="2" s="1"/>
  <c r="K98" i="5"/>
  <c r="I89" i="5"/>
  <c r="K89" i="5" s="1"/>
  <c r="K484" i="11"/>
  <c r="I473" i="11"/>
  <c r="K473" i="11" s="1"/>
  <c r="K292" i="12"/>
  <c r="I275" i="12"/>
  <c r="K275" i="12" s="1"/>
  <c r="N231" i="3"/>
  <c r="I125" i="1"/>
  <c r="K125" i="1" s="1"/>
  <c r="N218" i="8"/>
  <c r="L216" i="8"/>
  <c r="N216" i="8" s="1"/>
  <c r="N461" i="8"/>
  <c r="L459" i="8"/>
  <c r="L457" i="8" s="1"/>
  <c r="N457" i="8" s="1"/>
  <c r="L459" i="9"/>
  <c r="L457" i="9" s="1"/>
  <c r="N457" i="9" s="1"/>
  <c r="N77" i="10"/>
  <c r="L76" i="10"/>
  <c r="N76" i="10" s="1"/>
  <c r="K484" i="15"/>
  <c r="I473" i="15"/>
  <c r="K473" i="15" s="1"/>
  <c r="N494" i="18"/>
  <c r="L492" i="18"/>
  <c r="N492" i="18" s="1"/>
  <c r="N132" i="19"/>
  <c r="L131" i="19"/>
  <c r="N131" i="19" s="1"/>
  <c r="L103" i="20"/>
  <c r="L101" i="20" s="1"/>
  <c r="N101" i="20" s="1"/>
  <c r="N104" i="20"/>
  <c r="N203" i="21"/>
  <c r="L201" i="21"/>
  <c r="K317" i="4"/>
  <c r="I296" i="4"/>
  <c r="K296" i="4" s="1"/>
  <c r="N146" i="5"/>
  <c r="K209" i="7"/>
  <c r="I199" i="7"/>
  <c r="K199" i="7" s="1"/>
  <c r="I74" i="8"/>
  <c r="K74" i="8" s="1"/>
  <c r="K83" i="8"/>
  <c r="K484" i="8"/>
  <c r="I473" i="8"/>
  <c r="K473" i="8" s="1"/>
  <c r="K111" i="10"/>
  <c r="I101" i="10"/>
  <c r="K101" i="10" s="1"/>
  <c r="I325" i="22"/>
  <c r="K325" i="22" s="1"/>
  <c r="K326" i="22"/>
  <c r="L14" i="1"/>
  <c r="N14" i="1" s="1"/>
  <c r="L148" i="1"/>
  <c r="N148" i="1" s="1"/>
  <c r="K180" i="2"/>
  <c r="I180" i="1"/>
  <c r="K180" i="1" s="1"/>
  <c r="L461" i="1"/>
  <c r="I44" i="1"/>
  <c r="K44" i="1" s="1"/>
  <c r="L230" i="2"/>
  <c r="L228" i="2" s="1"/>
  <c r="L231" i="1"/>
  <c r="N231" i="1" s="1"/>
  <c r="I267" i="2"/>
  <c r="K267" i="2" s="1"/>
  <c r="I263" i="1"/>
  <c r="K263" i="1" s="1"/>
  <c r="I297" i="2"/>
  <c r="I316" i="1"/>
  <c r="J238" i="1"/>
  <c r="K266" i="4"/>
  <c r="I266" i="1"/>
  <c r="K266" i="1" s="1"/>
  <c r="K518" i="8"/>
  <c r="K515" i="8"/>
  <c r="K513" i="8"/>
  <c r="K517" i="8"/>
  <c r="K514" i="8"/>
  <c r="L131" i="12"/>
  <c r="L129" i="12" s="1"/>
  <c r="N129" i="12" s="1"/>
  <c r="N132" i="12"/>
  <c r="I214" i="14"/>
  <c r="K214" i="14" s="1"/>
  <c r="K224" i="14"/>
  <c r="I275" i="14"/>
  <c r="K275" i="14" s="1"/>
  <c r="K292" i="14"/>
  <c r="N12" i="15"/>
  <c r="L9" i="15"/>
  <c r="N9" i="15" s="1"/>
  <c r="I32" i="18"/>
  <c r="K32" i="18" s="1"/>
  <c r="K44" i="18"/>
  <c r="L203" i="1"/>
  <c r="N203" i="1" s="1"/>
  <c r="I346" i="1"/>
  <c r="K346" i="1" s="1"/>
  <c r="I275" i="5"/>
  <c r="K275" i="5" s="1"/>
  <c r="I426" i="8"/>
  <c r="K426" i="8" s="1"/>
  <c r="K440" i="8"/>
  <c r="K224" i="11"/>
  <c r="I224" i="1"/>
  <c r="K224" i="1" s="1"/>
  <c r="K361" i="13"/>
  <c r="I377" i="13"/>
  <c r="K377" i="13" s="1"/>
  <c r="I369" i="13"/>
  <c r="K369" i="13" s="1"/>
  <c r="K155" i="20"/>
  <c r="I149" i="20"/>
  <c r="K149" i="20" s="1"/>
  <c r="K484" i="20"/>
  <c r="I473" i="20"/>
  <c r="K473" i="20" s="1"/>
  <c r="K527" i="5"/>
  <c r="K392" i="6"/>
  <c r="K522" i="8"/>
  <c r="L12" i="1"/>
  <c r="N12" i="1" s="1"/>
  <c r="K528" i="10"/>
  <c r="J527" i="1"/>
  <c r="N201" i="12"/>
  <c r="L199" i="12"/>
  <c r="N199" i="12" s="1"/>
  <c r="K516" i="13"/>
  <c r="K518" i="13"/>
  <c r="K224" i="15"/>
  <c r="I214" i="15"/>
  <c r="K214" i="15" s="1"/>
  <c r="K527" i="20"/>
  <c r="K528" i="2"/>
  <c r="K312" i="3"/>
  <c r="I368" i="4"/>
  <c r="K368" i="4" s="1"/>
  <c r="I490" i="5"/>
  <c r="K490" i="5" s="1"/>
  <c r="K510" i="5"/>
  <c r="L146" i="6"/>
  <c r="L144" i="6" s="1"/>
  <c r="I199" i="6"/>
  <c r="K199" i="6" s="1"/>
  <c r="I473" i="6"/>
  <c r="K473" i="6" s="1"/>
  <c r="K524" i="6"/>
  <c r="L32" i="7"/>
  <c r="N32" i="7" s="1"/>
  <c r="L216" i="7"/>
  <c r="N216" i="7" s="1"/>
  <c r="I262" i="8"/>
  <c r="K262" i="8" s="1"/>
  <c r="K345" i="9"/>
  <c r="L54" i="10"/>
  <c r="N54" i="10" s="1"/>
  <c r="I63" i="10"/>
  <c r="K63" i="10" s="1"/>
  <c r="I114" i="10"/>
  <c r="K114" i="10" s="1"/>
  <c r="I214" i="10"/>
  <c r="K214" i="10" s="1"/>
  <c r="N429" i="10"/>
  <c r="K440" i="10"/>
  <c r="I523" i="1"/>
  <c r="I21" i="11"/>
  <c r="K21" i="11" s="1"/>
  <c r="L32" i="11"/>
  <c r="N32" i="11" s="1"/>
  <c r="I276" i="11"/>
  <c r="K276" i="11" s="1"/>
  <c r="L278" i="11"/>
  <c r="L275" i="11" s="1"/>
  <c r="N275" i="11" s="1"/>
  <c r="N279" i="11"/>
  <c r="K440" i="11"/>
  <c r="I426" i="11"/>
  <c r="K426" i="11" s="1"/>
  <c r="I48" i="1"/>
  <c r="K48" i="1" s="1"/>
  <c r="N12" i="13"/>
  <c r="L9" i="13"/>
  <c r="N9" i="13" s="1"/>
  <c r="I275" i="13"/>
  <c r="K275" i="13" s="1"/>
  <c r="K292" i="13"/>
  <c r="N300" i="14"/>
  <c r="K224" i="16"/>
  <c r="I214" i="16"/>
  <c r="K214" i="16" s="1"/>
  <c r="I473" i="16"/>
  <c r="K473" i="16" s="1"/>
  <c r="K484" i="16"/>
  <c r="K48" i="17"/>
  <c r="K528" i="17"/>
  <c r="L247" i="19"/>
  <c r="N247" i="19" s="1"/>
  <c r="I63" i="20"/>
  <c r="K63" i="20" s="1"/>
  <c r="I52" i="20"/>
  <c r="K52" i="20" s="1"/>
  <c r="L216" i="20"/>
  <c r="I214" i="22"/>
  <c r="K214" i="22" s="1"/>
  <c r="K228" i="2"/>
  <c r="L278" i="2"/>
  <c r="N278" i="2" s="1"/>
  <c r="I321" i="1"/>
  <c r="K321" i="1" s="1"/>
  <c r="J489" i="1"/>
  <c r="K521" i="2"/>
  <c r="K238" i="3"/>
  <c r="K240" i="3"/>
  <c r="I325" i="3"/>
  <c r="K325" i="3" s="1"/>
  <c r="K526" i="3"/>
  <c r="I138" i="1"/>
  <c r="K138" i="1" s="1"/>
  <c r="K522" i="4"/>
  <c r="K524" i="4"/>
  <c r="K526" i="4"/>
  <c r="K528" i="4"/>
  <c r="L460" i="1"/>
  <c r="N460" i="1" s="1"/>
  <c r="J485" i="1"/>
  <c r="K505" i="5"/>
  <c r="K521" i="6"/>
  <c r="L201" i="7"/>
  <c r="N201" i="7" s="1"/>
  <c r="K504" i="7"/>
  <c r="K527" i="9"/>
  <c r="N55" i="10"/>
  <c r="N117" i="10"/>
  <c r="K321" i="10"/>
  <c r="I457" i="10"/>
  <c r="K457" i="10" s="1"/>
  <c r="I245" i="11"/>
  <c r="K245" i="11" s="1"/>
  <c r="L299" i="11"/>
  <c r="L296" i="11" s="1"/>
  <c r="N296" i="11" s="1"/>
  <c r="N300" i="11"/>
  <c r="N493" i="11"/>
  <c r="I296" i="12"/>
  <c r="K296" i="12" s="1"/>
  <c r="I376" i="12"/>
  <c r="K376" i="12" s="1"/>
  <c r="K359" i="12"/>
  <c r="I368" i="12"/>
  <c r="K368" i="12" s="1"/>
  <c r="K522" i="12"/>
  <c r="K312" i="13"/>
  <c r="I297" i="13"/>
  <c r="K297" i="13" s="1"/>
  <c r="I265" i="14"/>
  <c r="K265" i="14" s="1"/>
  <c r="K263" i="14"/>
  <c r="I267" i="14"/>
  <c r="K267" i="14" s="1"/>
  <c r="K111" i="15"/>
  <c r="I101" i="15"/>
  <c r="K101" i="15" s="1"/>
  <c r="L116" i="17"/>
  <c r="N116" i="17" s="1"/>
  <c r="N117" i="17"/>
  <c r="L146" i="20"/>
  <c r="K195" i="21"/>
  <c r="I185" i="21"/>
  <c r="K185" i="21" s="1"/>
  <c r="K98" i="22"/>
  <c r="I89" i="22"/>
  <c r="K89" i="22" s="1"/>
  <c r="K522" i="22"/>
  <c r="K522" i="13"/>
  <c r="I377" i="14"/>
  <c r="K377" i="14" s="1"/>
  <c r="J521" i="1"/>
  <c r="K525" i="14"/>
  <c r="K523" i="16"/>
  <c r="I169" i="17"/>
  <c r="K169" i="17" s="1"/>
  <c r="L299" i="19"/>
  <c r="N299" i="19" s="1"/>
  <c r="K527" i="19"/>
  <c r="K236" i="21"/>
  <c r="L187" i="22"/>
  <c r="N187" i="22" s="1"/>
  <c r="L216" i="12"/>
  <c r="N216" i="12" s="1"/>
  <c r="K486" i="12"/>
  <c r="I199" i="13"/>
  <c r="K199" i="13" s="1"/>
  <c r="I270" i="13"/>
  <c r="K270" i="13" s="1"/>
  <c r="K521" i="13"/>
  <c r="L428" i="14"/>
  <c r="N428" i="14" s="1"/>
  <c r="K522" i="14"/>
  <c r="K524" i="14"/>
  <c r="K526" i="14"/>
  <c r="K228" i="15"/>
  <c r="K238" i="15"/>
  <c r="K240" i="15"/>
  <c r="K522" i="16"/>
  <c r="K524" i="16"/>
  <c r="L54" i="17"/>
  <c r="N54" i="17" s="1"/>
  <c r="K240" i="17"/>
  <c r="I63" i="18"/>
  <c r="K63" i="18" s="1"/>
  <c r="K235" i="18"/>
  <c r="K526" i="19"/>
  <c r="K528" i="19"/>
  <c r="I214" i="20"/>
  <c r="K214" i="20" s="1"/>
  <c r="I297" i="21"/>
  <c r="K521" i="21"/>
  <c r="K513" i="22"/>
  <c r="K521" i="22"/>
  <c r="I214" i="3"/>
  <c r="K214" i="3" s="1"/>
  <c r="I350" i="6"/>
  <c r="K350" i="6" s="1"/>
  <c r="I368" i="6"/>
  <c r="K368" i="6" s="1"/>
  <c r="I101" i="14"/>
  <c r="K101" i="14" s="1"/>
  <c r="L189" i="1"/>
  <c r="N189" i="1" s="1"/>
  <c r="I527" i="1"/>
  <c r="K98" i="2"/>
  <c r="I185" i="2"/>
  <c r="K185" i="2" s="1"/>
  <c r="K224" i="2"/>
  <c r="N279" i="2"/>
  <c r="K291" i="2"/>
  <c r="I350" i="2"/>
  <c r="K350" i="2" s="1"/>
  <c r="I368" i="2"/>
  <c r="K368" i="2" s="1"/>
  <c r="K22" i="3"/>
  <c r="K83" i="3"/>
  <c r="L117" i="1"/>
  <c r="N117" i="1" s="1"/>
  <c r="K292" i="3"/>
  <c r="I392" i="1"/>
  <c r="K392" i="1" s="1"/>
  <c r="I444" i="3"/>
  <c r="K444" i="3" s="1"/>
  <c r="L146" i="4"/>
  <c r="L144" i="4" s="1"/>
  <c r="K484" i="5"/>
  <c r="I473" i="5"/>
  <c r="K473" i="5" s="1"/>
  <c r="K524" i="5"/>
  <c r="L9" i="6"/>
  <c r="N9" i="6" s="1"/>
  <c r="N12" i="6"/>
  <c r="K98" i="6"/>
  <c r="I89" i="6"/>
  <c r="K89" i="6" s="1"/>
  <c r="L9" i="7"/>
  <c r="N9" i="7" s="1"/>
  <c r="N12" i="7"/>
  <c r="L91" i="8"/>
  <c r="N91" i="8" s="1"/>
  <c r="N92" i="8"/>
  <c r="K125" i="8"/>
  <c r="I292" i="1"/>
  <c r="K292" i="1" s="1"/>
  <c r="N353" i="8"/>
  <c r="N117" i="9"/>
  <c r="L116" i="9"/>
  <c r="L114" i="9" s="1"/>
  <c r="N114" i="9" s="1"/>
  <c r="I169" i="10"/>
  <c r="K169" i="10" s="1"/>
  <c r="N172" i="10"/>
  <c r="L171" i="10"/>
  <c r="N171" i="10" s="1"/>
  <c r="K516" i="10"/>
  <c r="K111" i="11"/>
  <c r="K180" i="11"/>
  <c r="K518" i="11"/>
  <c r="K466" i="12"/>
  <c r="I457" i="12"/>
  <c r="K457" i="12" s="1"/>
  <c r="K482" i="12"/>
  <c r="K519" i="12"/>
  <c r="K513" i="12"/>
  <c r="I101" i="13"/>
  <c r="K101" i="13" s="1"/>
  <c r="L9" i="14"/>
  <c r="N9" i="14" s="1"/>
  <c r="N248" i="14"/>
  <c r="K125" i="15"/>
  <c r="I114" i="15"/>
  <c r="K114" i="15" s="1"/>
  <c r="N218" i="15"/>
  <c r="L216" i="15"/>
  <c r="N216" i="15" s="1"/>
  <c r="L230" i="18"/>
  <c r="N230" i="18" s="1"/>
  <c r="N231" i="18"/>
  <c r="K25" i="5"/>
  <c r="I21" i="5"/>
  <c r="I10" i="5" s="1"/>
  <c r="K10" i="5" s="1"/>
  <c r="I195" i="1"/>
  <c r="K195" i="1" s="1"/>
  <c r="J414" i="1"/>
  <c r="K313" i="7"/>
  <c r="I296" i="7"/>
  <c r="K296" i="7" s="1"/>
  <c r="I32" i="8"/>
  <c r="K32" i="8" s="1"/>
  <c r="K44" i="8"/>
  <c r="N148" i="8"/>
  <c r="L146" i="8"/>
  <c r="N146" i="8" s="1"/>
  <c r="L171" i="8"/>
  <c r="N171" i="8" s="1"/>
  <c r="I21" i="9"/>
  <c r="K23" i="9"/>
  <c r="I325" i="10"/>
  <c r="K325" i="10" s="1"/>
  <c r="K326" i="10"/>
  <c r="I169" i="13"/>
  <c r="K169" i="13" s="1"/>
  <c r="K180" i="13"/>
  <c r="I344" i="16"/>
  <c r="K344" i="16" s="1"/>
  <c r="K453" i="16"/>
  <c r="I444" i="16"/>
  <c r="K444" i="16" s="1"/>
  <c r="I262" i="17"/>
  <c r="K266" i="17"/>
  <c r="L91" i="18"/>
  <c r="N91" i="18" s="1"/>
  <c r="N92" i="18"/>
  <c r="L278" i="18"/>
  <c r="N278" i="18" s="1"/>
  <c r="N279" i="18"/>
  <c r="I209" i="1"/>
  <c r="K209" i="1" s="1"/>
  <c r="I240" i="1"/>
  <c r="I359" i="1"/>
  <c r="I45" i="1"/>
  <c r="K45" i="1" s="1"/>
  <c r="J488" i="1"/>
  <c r="I522" i="1"/>
  <c r="N132" i="2"/>
  <c r="K209" i="2"/>
  <c r="J234" i="1"/>
  <c r="K236" i="2"/>
  <c r="K238" i="2"/>
  <c r="K240" i="2"/>
  <c r="I245" i="2"/>
  <c r="K245" i="2" s="1"/>
  <c r="L247" i="2"/>
  <c r="L244" i="2" s="1"/>
  <c r="N244" i="2" s="1"/>
  <c r="K263" i="2"/>
  <c r="K326" i="2"/>
  <c r="K359" i="2"/>
  <c r="K228" i="3"/>
  <c r="I245" i="3"/>
  <c r="K245" i="3" s="1"/>
  <c r="L247" i="3"/>
  <c r="N247" i="3" s="1"/>
  <c r="K326" i="3"/>
  <c r="I345" i="1"/>
  <c r="K345" i="1" s="1"/>
  <c r="N77" i="4"/>
  <c r="I276" i="4"/>
  <c r="K276" i="4" s="1"/>
  <c r="J235" i="1"/>
  <c r="L475" i="5"/>
  <c r="N475" i="5" s="1"/>
  <c r="N476" i="5"/>
  <c r="K236" i="6"/>
  <c r="K316" i="6"/>
  <c r="K195" i="7"/>
  <c r="I185" i="7"/>
  <c r="K185" i="7" s="1"/>
  <c r="K523" i="7"/>
  <c r="I114" i="8"/>
  <c r="K114" i="8" s="1"/>
  <c r="L116" i="8"/>
  <c r="L114" i="8" s="1"/>
  <c r="N114" i="8" s="1"/>
  <c r="N117" i="8"/>
  <c r="K224" i="8"/>
  <c r="I214" i="8"/>
  <c r="K214" i="8" s="1"/>
  <c r="K317" i="8"/>
  <c r="I296" i="8"/>
  <c r="K296" i="8" s="1"/>
  <c r="N333" i="8"/>
  <c r="K126" i="9"/>
  <c r="K138" i="9"/>
  <c r="K518" i="9"/>
  <c r="K515" i="9"/>
  <c r="K513" i="9"/>
  <c r="K517" i="9"/>
  <c r="K514" i="9"/>
  <c r="I20" i="10"/>
  <c r="I9" i="10" s="1"/>
  <c r="K9" i="10" s="1"/>
  <c r="K48" i="10"/>
  <c r="K98" i="12"/>
  <c r="I89" i="12"/>
  <c r="K89" i="12" s="1"/>
  <c r="K48" i="13"/>
  <c r="I33" i="13"/>
  <c r="K33" i="13" s="1"/>
  <c r="L230" i="13"/>
  <c r="L228" i="13" s="1"/>
  <c r="N228" i="13" s="1"/>
  <c r="N231" i="13"/>
  <c r="K519" i="13"/>
  <c r="K513" i="13"/>
  <c r="N203" i="14"/>
  <c r="L201" i="14"/>
  <c r="L199" i="14" s="1"/>
  <c r="N199" i="14" s="1"/>
  <c r="I376" i="14"/>
  <c r="K376" i="14" s="1"/>
  <c r="I368" i="14"/>
  <c r="K368" i="14" s="1"/>
  <c r="K359" i="14"/>
  <c r="K48" i="15"/>
  <c r="I33" i="15"/>
  <c r="K33" i="15" s="1"/>
  <c r="L332" i="15"/>
  <c r="N333" i="15"/>
  <c r="K512" i="17"/>
  <c r="K504" i="17"/>
  <c r="I490" i="17"/>
  <c r="K490" i="17" s="1"/>
  <c r="K511" i="17"/>
  <c r="K509" i="17"/>
  <c r="K510" i="17"/>
  <c r="K508" i="17"/>
  <c r="L187" i="18"/>
  <c r="N187" i="18" s="1"/>
  <c r="N188" i="18"/>
  <c r="K48" i="19"/>
  <c r="I33" i="19"/>
  <c r="K33" i="19" s="1"/>
  <c r="N77" i="19"/>
  <c r="L76" i="19"/>
  <c r="L74" i="19" s="1"/>
  <c r="K98" i="21"/>
  <c r="I89" i="21"/>
  <c r="K89" i="21" s="1"/>
  <c r="I426" i="6"/>
  <c r="K426" i="6" s="1"/>
  <c r="L475" i="7"/>
  <c r="L473" i="7" s="1"/>
  <c r="N473" i="7" s="1"/>
  <c r="L9" i="12"/>
  <c r="N9" i="12" s="1"/>
  <c r="I68" i="17"/>
  <c r="K68" i="17" s="1"/>
  <c r="K126" i="17"/>
  <c r="I265" i="18"/>
  <c r="K265" i="18" s="1"/>
  <c r="K263" i="18"/>
  <c r="I267" i="18"/>
  <c r="K267" i="18" s="1"/>
  <c r="I245" i="18"/>
  <c r="K245" i="18" s="1"/>
  <c r="I26" i="1"/>
  <c r="K26" i="1" s="1"/>
  <c r="L37" i="1"/>
  <c r="N37" i="1" s="1"/>
  <c r="L173" i="1"/>
  <c r="N173" i="1" s="1"/>
  <c r="I25" i="1"/>
  <c r="K25" i="1" s="1"/>
  <c r="L132" i="1"/>
  <c r="N132" i="1" s="1"/>
  <c r="I182" i="1"/>
  <c r="K182" i="1" s="1"/>
  <c r="L279" i="1"/>
  <c r="N279" i="1" s="1"/>
  <c r="I322" i="1"/>
  <c r="K322" i="1" s="1"/>
  <c r="I326" i="1"/>
  <c r="K326" i="1" s="1"/>
  <c r="I453" i="1"/>
  <c r="K453" i="1" s="1"/>
  <c r="L494" i="1"/>
  <c r="L55" i="1"/>
  <c r="N55" i="1" s="1"/>
  <c r="I155" i="1"/>
  <c r="K155" i="1" s="1"/>
  <c r="K522" i="2"/>
  <c r="K524" i="2"/>
  <c r="I129" i="3"/>
  <c r="K129" i="3" s="1"/>
  <c r="I185" i="3"/>
  <c r="K185" i="3" s="1"/>
  <c r="I199" i="3"/>
  <c r="K199" i="3" s="1"/>
  <c r="N248" i="3"/>
  <c r="K263" i="3"/>
  <c r="I297" i="3"/>
  <c r="K297" i="3" s="1"/>
  <c r="K522" i="3"/>
  <c r="L9" i="4"/>
  <c r="N9" i="4" s="1"/>
  <c r="L131" i="4"/>
  <c r="N131" i="4" s="1"/>
  <c r="K228" i="4"/>
  <c r="K238" i="4"/>
  <c r="K240" i="4"/>
  <c r="L475" i="4"/>
  <c r="N475" i="4" s="1"/>
  <c r="N476" i="4"/>
  <c r="K209" i="5"/>
  <c r="I199" i="5"/>
  <c r="K199" i="5" s="1"/>
  <c r="K228" i="5"/>
  <c r="K236" i="7"/>
  <c r="K111" i="8"/>
  <c r="I101" i="8"/>
  <c r="K101" i="8" s="1"/>
  <c r="L201" i="8"/>
  <c r="J239" i="1"/>
  <c r="K266" i="8"/>
  <c r="K44" i="9"/>
  <c r="I33" i="9"/>
  <c r="K33" i="9" s="1"/>
  <c r="K48" i="9"/>
  <c r="N77" i="9"/>
  <c r="I270" i="9"/>
  <c r="K270" i="9" s="1"/>
  <c r="K271" i="9"/>
  <c r="L91" i="10"/>
  <c r="N91" i="10" s="1"/>
  <c r="N92" i="10"/>
  <c r="I129" i="10"/>
  <c r="K129" i="10" s="1"/>
  <c r="K138" i="10"/>
  <c r="L492" i="10"/>
  <c r="N492" i="10" s="1"/>
  <c r="N493" i="10"/>
  <c r="N12" i="11"/>
  <c r="L9" i="11"/>
  <c r="N248" i="11"/>
  <c r="L247" i="11"/>
  <c r="K83" i="12"/>
  <c r="I74" i="12"/>
  <c r="K74" i="12" s="1"/>
  <c r="I52" i="13"/>
  <c r="K52" i="13" s="1"/>
  <c r="I63" i="13"/>
  <c r="K63" i="13" s="1"/>
  <c r="K138" i="13"/>
  <c r="I129" i="13"/>
  <c r="K129" i="13" s="1"/>
  <c r="K271" i="13"/>
  <c r="K466" i="13"/>
  <c r="I457" i="13"/>
  <c r="K457" i="13" s="1"/>
  <c r="N188" i="15"/>
  <c r="L187" i="15"/>
  <c r="N187" i="15" s="1"/>
  <c r="I63" i="17"/>
  <c r="K63" i="17" s="1"/>
  <c r="K62" i="17"/>
  <c r="L278" i="19"/>
  <c r="L275" i="19" s="1"/>
  <c r="N275" i="19" s="1"/>
  <c r="N279" i="19"/>
  <c r="K523" i="15"/>
  <c r="L32" i="18"/>
  <c r="N32" i="18" s="1"/>
  <c r="N35" i="18"/>
  <c r="I473" i="18"/>
  <c r="K484" i="18"/>
  <c r="I214" i="19"/>
  <c r="K214" i="19" s="1"/>
  <c r="K224" i="19"/>
  <c r="K317" i="19"/>
  <c r="I296" i="19"/>
  <c r="K296" i="19" s="1"/>
  <c r="K518" i="19"/>
  <c r="K515" i="19"/>
  <c r="K513" i="19"/>
  <c r="K517" i="19"/>
  <c r="K514" i="19"/>
  <c r="L459" i="20"/>
  <c r="N459" i="20" s="1"/>
  <c r="N460" i="20"/>
  <c r="K505" i="20"/>
  <c r="I490" i="20"/>
  <c r="N148" i="21"/>
  <c r="L146" i="21"/>
  <c r="L144" i="21" s="1"/>
  <c r="N144" i="21" s="1"/>
  <c r="K455" i="21"/>
  <c r="I444" i="21"/>
  <c r="K444" i="21" s="1"/>
  <c r="K523" i="4"/>
  <c r="K527" i="4"/>
  <c r="K316" i="5"/>
  <c r="K521" i="5"/>
  <c r="K235" i="6"/>
  <c r="K527" i="6"/>
  <c r="K235" i="7"/>
  <c r="K505" i="7"/>
  <c r="K511" i="7"/>
  <c r="K522" i="7"/>
  <c r="K527" i="8"/>
  <c r="L332" i="9"/>
  <c r="N332" i="9" s="1"/>
  <c r="I52" i="10"/>
  <c r="K52" i="10" s="1"/>
  <c r="L332" i="10"/>
  <c r="N332" i="10" s="1"/>
  <c r="I20" i="11"/>
  <c r="K20" i="11" s="1"/>
  <c r="I33" i="11"/>
  <c r="K33" i="11" s="1"/>
  <c r="K521" i="11"/>
  <c r="I20" i="12"/>
  <c r="K20" i="12" s="1"/>
  <c r="K240" i="12"/>
  <c r="K525" i="12"/>
  <c r="I325" i="13"/>
  <c r="K325" i="13" s="1"/>
  <c r="K525" i="13"/>
  <c r="K518" i="14"/>
  <c r="K361" i="15"/>
  <c r="K510" i="15"/>
  <c r="K522" i="15"/>
  <c r="K524" i="15"/>
  <c r="K235" i="16"/>
  <c r="L9" i="17"/>
  <c r="N9" i="17" s="1"/>
  <c r="N55" i="17"/>
  <c r="K125" i="17"/>
  <c r="K155" i="17"/>
  <c r="K440" i="17"/>
  <c r="K521" i="17"/>
  <c r="K523" i="17"/>
  <c r="K527" i="17"/>
  <c r="K264" i="18"/>
  <c r="I262" i="18"/>
  <c r="I244" i="18" s="1"/>
  <c r="K244" i="18" s="1"/>
  <c r="L332" i="18"/>
  <c r="N333" i="18"/>
  <c r="I199" i="19"/>
  <c r="K199" i="19" s="1"/>
  <c r="I377" i="20"/>
  <c r="K377" i="20" s="1"/>
  <c r="K361" i="20"/>
  <c r="L131" i="22"/>
  <c r="N132" i="22"/>
  <c r="N203" i="22"/>
  <c r="L201" i="22"/>
  <c r="N201" i="22" s="1"/>
  <c r="L492" i="22"/>
  <c r="N492" i="22" s="1"/>
  <c r="I317" i="1"/>
  <c r="K317" i="1" s="1"/>
  <c r="K526" i="6"/>
  <c r="K528" i="6"/>
  <c r="K509" i="7"/>
  <c r="L171" i="9"/>
  <c r="N171" i="9" s="1"/>
  <c r="K521" i="9"/>
  <c r="K523" i="9"/>
  <c r="K522" i="10"/>
  <c r="K524" i="10"/>
  <c r="L73" i="12"/>
  <c r="N73" i="12" s="1"/>
  <c r="K235" i="12"/>
  <c r="L446" i="12"/>
  <c r="N446" i="12" s="1"/>
  <c r="K524" i="12"/>
  <c r="K526" i="12"/>
  <c r="K524" i="13"/>
  <c r="K526" i="13"/>
  <c r="K238" i="14"/>
  <c r="L278" i="14"/>
  <c r="N278" i="14" s="1"/>
  <c r="K516" i="14"/>
  <c r="K521" i="14"/>
  <c r="K527" i="14"/>
  <c r="K236" i="16"/>
  <c r="K238" i="18"/>
  <c r="L299" i="18"/>
  <c r="N299" i="18" s="1"/>
  <c r="N300" i="18"/>
  <c r="I275" i="19"/>
  <c r="K275" i="19" s="1"/>
  <c r="I376" i="19"/>
  <c r="K376" i="19" s="1"/>
  <c r="K359" i="19"/>
  <c r="I350" i="19"/>
  <c r="K350" i="19" s="1"/>
  <c r="I368" i="19"/>
  <c r="K368" i="19" s="1"/>
  <c r="N35" i="22"/>
  <c r="L32" i="22"/>
  <c r="N32" i="22" s="1"/>
  <c r="I185" i="22"/>
  <c r="K185" i="22" s="1"/>
  <c r="L247" i="22"/>
  <c r="N248" i="22"/>
  <c r="K486" i="18"/>
  <c r="K528" i="18"/>
  <c r="I169" i="19"/>
  <c r="K169" i="19" s="1"/>
  <c r="K321" i="19"/>
  <c r="K522" i="19"/>
  <c r="K484" i="21"/>
  <c r="L73" i="22"/>
  <c r="N73" i="22" s="1"/>
  <c r="K321" i="22"/>
  <c r="I376" i="22"/>
  <c r="K376" i="22" s="1"/>
  <c r="L216" i="17"/>
  <c r="N216" i="17" s="1"/>
  <c r="K236" i="17"/>
  <c r="K224" i="18"/>
  <c r="I275" i="18"/>
  <c r="K275" i="18" s="1"/>
  <c r="K361" i="18"/>
  <c r="K527" i="18"/>
  <c r="L73" i="19"/>
  <c r="N73" i="19" s="1"/>
  <c r="I275" i="20"/>
  <c r="K275" i="20" s="1"/>
  <c r="N333" i="20"/>
  <c r="K521" i="20"/>
  <c r="I214" i="21"/>
  <c r="K214" i="21" s="1"/>
  <c r="I228" i="21"/>
  <c r="K228" i="21" s="1"/>
  <c r="K392" i="21"/>
  <c r="L9" i="22"/>
  <c r="N9" i="22" s="1"/>
  <c r="N188" i="22"/>
  <c r="I199" i="22"/>
  <c r="K199" i="22" s="1"/>
  <c r="I276" i="22"/>
  <c r="K276" i="22" s="1"/>
  <c r="K488" i="19"/>
  <c r="I21" i="20"/>
  <c r="K21" i="20" s="1"/>
  <c r="K48" i="20"/>
  <c r="K62" i="20"/>
  <c r="K125" i="20"/>
  <c r="K524" i="21"/>
  <c r="N201" i="4"/>
  <c r="L199" i="4"/>
  <c r="N199" i="4" s="1"/>
  <c r="I270" i="2"/>
  <c r="K270" i="2" s="1"/>
  <c r="K272" i="2"/>
  <c r="I23" i="1"/>
  <c r="K23" i="1" s="1"/>
  <c r="I140" i="1"/>
  <c r="K140" i="1" s="1"/>
  <c r="I260" i="1"/>
  <c r="K260" i="1" s="1"/>
  <c r="I324" i="1"/>
  <c r="K324" i="1" s="1"/>
  <c r="I441" i="1"/>
  <c r="K441" i="1" s="1"/>
  <c r="I21" i="2"/>
  <c r="K21" i="2" s="1"/>
  <c r="I444" i="2"/>
  <c r="K444" i="2" s="1"/>
  <c r="N476" i="2"/>
  <c r="L475" i="2"/>
  <c r="N77" i="3"/>
  <c r="L76" i="3"/>
  <c r="N132" i="3"/>
  <c r="L187" i="3"/>
  <c r="N187" i="3" s="1"/>
  <c r="K440" i="3"/>
  <c r="I426" i="3"/>
  <c r="K426" i="3" s="1"/>
  <c r="K466" i="3"/>
  <c r="I457" i="3"/>
  <c r="K457" i="3" s="1"/>
  <c r="K236" i="4"/>
  <c r="I311" i="6"/>
  <c r="K312" i="6"/>
  <c r="L13" i="1"/>
  <c r="N13" i="1" s="1"/>
  <c r="I24" i="1"/>
  <c r="K24" i="1" s="1"/>
  <c r="L35" i="1"/>
  <c r="N35" i="1" s="1"/>
  <c r="I47" i="1"/>
  <c r="K47" i="1" s="1"/>
  <c r="I62" i="1"/>
  <c r="K62" i="1" s="1"/>
  <c r="I111" i="1"/>
  <c r="K111" i="1" s="1"/>
  <c r="I141" i="1"/>
  <c r="K141" i="1" s="1"/>
  <c r="I181" i="1"/>
  <c r="K181" i="1" s="1"/>
  <c r="I236" i="1"/>
  <c r="I238" i="1"/>
  <c r="L249" i="1"/>
  <c r="N249" i="1" s="1"/>
  <c r="I268" i="1"/>
  <c r="K268" i="1" s="1"/>
  <c r="L300" i="1"/>
  <c r="N300" i="1" s="1"/>
  <c r="I440" i="1"/>
  <c r="K440" i="1" s="1"/>
  <c r="I485" i="1"/>
  <c r="K485" i="1" s="1"/>
  <c r="I488" i="1"/>
  <c r="N12" i="2"/>
  <c r="I20" i="2"/>
  <c r="N429" i="2"/>
  <c r="L428" i="2"/>
  <c r="L426" i="2" s="1"/>
  <c r="N426" i="2" s="1"/>
  <c r="K525" i="2"/>
  <c r="K98" i="3"/>
  <c r="I89" i="3"/>
  <c r="K89" i="3" s="1"/>
  <c r="K527" i="3"/>
  <c r="I33" i="4"/>
  <c r="K33" i="4" s="1"/>
  <c r="L73" i="4"/>
  <c r="K224" i="4"/>
  <c r="I214" i="4"/>
  <c r="I473" i="4"/>
  <c r="K473" i="4" s="1"/>
  <c r="K484" i="4"/>
  <c r="L9" i="5"/>
  <c r="N9" i="5" s="1"/>
  <c r="N12" i="5"/>
  <c r="K83" i="5"/>
  <c r="I74" i="5"/>
  <c r="K74" i="5" s="1"/>
  <c r="K291" i="5"/>
  <c r="I276" i="5"/>
  <c r="K276" i="5" s="1"/>
  <c r="K27" i="6"/>
  <c r="I21" i="6"/>
  <c r="K21" i="6" s="1"/>
  <c r="K228" i="6"/>
  <c r="K238" i="6"/>
  <c r="K240" i="6"/>
  <c r="K455" i="6"/>
  <c r="I444" i="6"/>
  <c r="K444" i="6" s="1"/>
  <c r="K27" i="7"/>
  <c r="I21" i="7"/>
  <c r="I10" i="7" s="1"/>
  <c r="K10" i="7" s="1"/>
  <c r="K138" i="7"/>
  <c r="I129" i="7"/>
  <c r="I68" i="7" s="1"/>
  <c r="K68" i="7" s="1"/>
  <c r="K455" i="7"/>
  <c r="I444" i="7"/>
  <c r="K444" i="7" s="1"/>
  <c r="K528" i="7"/>
  <c r="N55" i="8"/>
  <c r="L54" i="8"/>
  <c r="N54" i="8" s="1"/>
  <c r="K345" i="8"/>
  <c r="I344" i="8"/>
  <c r="I330" i="8" s="1"/>
  <c r="K330" i="8" s="1"/>
  <c r="I377" i="8"/>
  <c r="K377" i="8" s="1"/>
  <c r="K361" i="8"/>
  <c r="K512" i="8"/>
  <c r="K511" i="8"/>
  <c r="K509" i="8"/>
  <c r="K504" i="8"/>
  <c r="K505" i="8"/>
  <c r="I63" i="9"/>
  <c r="K63" i="9" s="1"/>
  <c r="I52" i="9"/>
  <c r="K52" i="9" s="1"/>
  <c r="K512" i="9"/>
  <c r="K511" i="9"/>
  <c r="K509" i="9"/>
  <c r="K504" i="9"/>
  <c r="K505" i="9"/>
  <c r="K510" i="9"/>
  <c r="K507" i="9"/>
  <c r="I490" i="9"/>
  <c r="K490" i="9" s="1"/>
  <c r="K508" i="9"/>
  <c r="N430" i="11"/>
  <c r="L428" i="11"/>
  <c r="L426" i="11" s="1"/>
  <c r="N426" i="11" s="1"/>
  <c r="I457" i="11"/>
  <c r="K457" i="11" s="1"/>
  <c r="K466" i="11"/>
  <c r="K48" i="12"/>
  <c r="I33" i="12"/>
  <c r="K33" i="12" s="1"/>
  <c r="K138" i="12"/>
  <c r="I129" i="12"/>
  <c r="K129" i="12" s="1"/>
  <c r="N148" i="14"/>
  <c r="L146" i="14"/>
  <c r="N146" i="14" s="1"/>
  <c r="K138" i="15"/>
  <c r="I129" i="15"/>
  <c r="K98" i="16"/>
  <c r="I89" i="16"/>
  <c r="K89" i="16" s="1"/>
  <c r="N203" i="3"/>
  <c r="L201" i="3"/>
  <c r="N201" i="3" s="1"/>
  <c r="I293" i="1"/>
  <c r="K293" i="1" s="1"/>
  <c r="K293" i="3"/>
  <c r="K83" i="6"/>
  <c r="I74" i="6"/>
  <c r="K74" i="6" s="1"/>
  <c r="K126" i="8"/>
  <c r="L352" i="9"/>
  <c r="N353" i="9"/>
  <c r="N477" i="10"/>
  <c r="L475" i="10"/>
  <c r="K263" i="13"/>
  <c r="I267" i="13"/>
  <c r="K267" i="13" s="1"/>
  <c r="I265" i="13"/>
  <c r="K265" i="13" s="1"/>
  <c r="I245" i="13"/>
  <c r="K245" i="13" s="1"/>
  <c r="K313" i="22"/>
  <c r="I296" i="22"/>
  <c r="K296" i="22" s="1"/>
  <c r="N447" i="22"/>
  <c r="L446" i="22"/>
  <c r="L475" i="6"/>
  <c r="K512" i="6"/>
  <c r="K507" i="6"/>
  <c r="I490" i="6"/>
  <c r="K511" i="6"/>
  <c r="K508" i="6"/>
  <c r="I20" i="7"/>
  <c r="I368" i="7"/>
  <c r="K368" i="7" s="1"/>
  <c r="K440" i="7"/>
  <c r="J525" i="1"/>
  <c r="I63" i="8"/>
  <c r="K63" i="8" s="1"/>
  <c r="I52" i="8"/>
  <c r="K52" i="8" s="1"/>
  <c r="K155" i="8"/>
  <c r="I149" i="8"/>
  <c r="K149" i="8" s="1"/>
  <c r="K180" i="8"/>
  <c r="I169" i="8"/>
  <c r="K169" i="8" s="1"/>
  <c r="K236" i="8"/>
  <c r="I228" i="8"/>
  <c r="K228" i="8" s="1"/>
  <c r="K507" i="8"/>
  <c r="K510" i="8"/>
  <c r="I20" i="9"/>
  <c r="K20" i="9" s="1"/>
  <c r="N55" i="9"/>
  <c r="L54" i="9"/>
  <c r="I114" i="9"/>
  <c r="K114" i="9" s="1"/>
  <c r="I262" i="9"/>
  <c r="K262" i="9" s="1"/>
  <c r="K266" i="9"/>
  <c r="I297" i="10"/>
  <c r="K316" i="10"/>
  <c r="I311" i="10"/>
  <c r="K311" i="10" s="1"/>
  <c r="K291" i="12"/>
  <c r="I276" i="12"/>
  <c r="K276" i="12" s="1"/>
  <c r="I169" i="18"/>
  <c r="K169" i="18" s="1"/>
  <c r="K180" i="18"/>
  <c r="L299" i="3"/>
  <c r="N476" i="3"/>
  <c r="L475" i="3"/>
  <c r="I101" i="4"/>
  <c r="K101" i="4" s="1"/>
  <c r="N203" i="5"/>
  <c r="L201" i="5"/>
  <c r="L199" i="5" s="1"/>
  <c r="N199" i="5" s="1"/>
  <c r="I311" i="5"/>
  <c r="K311" i="5" s="1"/>
  <c r="K312" i="5"/>
  <c r="K317" i="5"/>
  <c r="I296" i="5"/>
  <c r="K296" i="5" s="1"/>
  <c r="L36" i="1"/>
  <c r="N36" i="1" s="1"/>
  <c r="I46" i="1"/>
  <c r="K46" i="1" s="1"/>
  <c r="L56" i="1"/>
  <c r="N56" i="1" s="1"/>
  <c r="J240" i="1"/>
  <c r="I483" i="1"/>
  <c r="K483" i="1" s="1"/>
  <c r="L187" i="2"/>
  <c r="L185" i="2" s="1"/>
  <c r="N185" i="2" s="1"/>
  <c r="N248" i="2"/>
  <c r="I473" i="2"/>
  <c r="K473" i="2" s="1"/>
  <c r="J484" i="1"/>
  <c r="I276" i="3"/>
  <c r="K276" i="3" s="1"/>
  <c r="K291" i="3"/>
  <c r="N493" i="3"/>
  <c r="L492" i="3"/>
  <c r="L490" i="3" s="1"/>
  <c r="N490" i="3" s="1"/>
  <c r="K195" i="5"/>
  <c r="I185" i="5"/>
  <c r="K185" i="5" s="1"/>
  <c r="I20" i="6"/>
  <c r="L201" i="6"/>
  <c r="I22" i="1"/>
  <c r="K22" i="1" s="1"/>
  <c r="I27" i="1"/>
  <c r="K27" i="1" s="1"/>
  <c r="I43" i="1"/>
  <c r="K43" i="1" s="1"/>
  <c r="I98" i="1"/>
  <c r="K98" i="1" s="1"/>
  <c r="I124" i="1"/>
  <c r="K124" i="1" s="1"/>
  <c r="I179" i="1"/>
  <c r="K179" i="1" s="1"/>
  <c r="L188" i="1"/>
  <c r="N188" i="1" s="1"/>
  <c r="L232" i="1"/>
  <c r="N232" i="1" s="1"/>
  <c r="I271" i="1"/>
  <c r="K271" i="1" s="1"/>
  <c r="I312" i="1"/>
  <c r="L447" i="1"/>
  <c r="N447" i="1" s="1"/>
  <c r="L476" i="1"/>
  <c r="N476" i="1" s="1"/>
  <c r="I484" i="1"/>
  <c r="I487" i="1"/>
  <c r="K487" i="1" s="1"/>
  <c r="N77" i="2"/>
  <c r="L76" i="2"/>
  <c r="L74" i="2" s="1"/>
  <c r="N74" i="2" s="1"/>
  <c r="J241" i="1"/>
  <c r="K313" i="2"/>
  <c r="I323" i="1"/>
  <c r="K323" i="1" s="1"/>
  <c r="N334" i="2"/>
  <c r="N354" i="2"/>
  <c r="K440" i="2"/>
  <c r="I426" i="2"/>
  <c r="K426" i="2" s="1"/>
  <c r="K466" i="2"/>
  <c r="I457" i="2"/>
  <c r="K457" i="2" s="1"/>
  <c r="N493" i="2"/>
  <c r="L492" i="2"/>
  <c r="L490" i="2" s="1"/>
  <c r="N490" i="2" s="1"/>
  <c r="I21" i="3"/>
  <c r="K21" i="3" s="1"/>
  <c r="K180" i="3"/>
  <c r="N279" i="3"/>
  <c r="L278" i="3"/>
  <c r="K317" i="3"/>
  <c r="I296" i="3"/>
  <c r="K296" i="3" s="1"/>
  <c r="I376" i="3"/>
  <c r="K376" i="3" s="1"/>
  <c r="K359" i="3"/>
  <c r="I368" i="3"/>
  <c r="K368" i="3" s="1"/>
  <c r="N429" i="3"/>
  <c r="L428" i="3"/>
  <c r="N428" i="3" s="1"/>
  <c r="K98" i="4"/>
  <c r="I89" i="4"/>
  <c r="K89" i="4" s="1"/>
  <c r="K180" i="4"/>
  <c r="I169" i="4"/>
  <c r="K169" i="4" s="1"/>
  <c r="K455" i="4"/>
  <c r="I444" i="4"/>
  <c r="K444" i="4" s="1"/>
  <c r="K24" i="5"/>
  <c r="I20" i="5"/>
  <c r="K224" i="5"/>
  <c r="I214" i="5"/>
  <c r="K214" i="5" s="1"/>
  <c r="K528" i="5"/>
  <c r="L32" i="6"/>
  <c r="N32" i="6" s="1"/>
  <c r="K180" i="6"/>
  <c r="I169" i="6"/>
  <c r="K169" i="6" s="1"/>
  <c r="K224" i="6"/>
  <c r="I214" i="6"/>
  <c r="K214" i="6" s="1"/>
  <c r="I276" i="6"/>
  <c r="K276" i="6" s="1"/>
  <c r="I296" i="6"/>
  <c r="K296" i="6" s="1"/>
  <c r="K505" i="6"/>
  <c r="I89" i="7"/>
  <c r="K89" i="7" s="1"/>
  <c r="N148" i="7"/>
  <c r="L146" i="7"/>
  <c r="L144" i="7" s="1"/>
  <c r="N144" i="7" s="1"/>
  <c r="K228" i="7"/>
  <c r="K276" i="7"/>
  <c r="K292" i="7"/>
  <c r="I275" i="7"/>
  <c r="K275" i="7" s="1"/>
  <c r="I376" i="7"/>
  <c r="K376" i="7" s="1"/>
  <c r="I418" i="1"/>
  <c r="K418" i="1" s="1"/>
  <c r="I473" i="7"/>
  <c r="K473" i="7" s="1"/>
  <c r="K22" i="8"/>
  <c r="I20" i="8"/>
  <c r="K20" i="8" s="1"/>
  <c r="N35" i="8"/>
  <c r="L32" i="8"/>
  <c r="N32" i="8" s="1"/>
  <c r="I33" i="8"/>
  <c r="K33" i="8" s="1"/>
  <c r="K48" i="8"/>
  <c r="K62" i="8"/>
  <c r="N104" i="8"/>
  <c r="L103" i="8"/>
  <c r="N103" i="8" s="1"/>
  <c r="K508" i="8"/>
  <c r="K524" i="8"/>
  <c r="K526" i="8"/>
  <c r="K83" i="9"/>
  <c r="L103" i="9"/>
  <c r="N103" i="9" s="1"/>
  <c r="N104" i="9"/>
  <c r="L201" i="9"/>
  <c r="K317" i="9"/>
  <c r="I296" i="9"/>
  <c r="K296" i="9" s="1"/>
  <c r="I377" i="9"/>
  <c r="K377" i="9" s="1"/>
  <c r="K361" i="9"/>
  <c r="N148" i="10"/>
  <c r="L146" i="10"/>
  <c r="K291" i="10"/>
  <c r="I276" i="10"/>
  <c r="K276" i="10" s="1"/>
  <c r="K180" i="12"/>
  <c r="I169" i="12"/>
  <c r="K169" i="12" s="1"/>
  <c r="K235" i="2"/>
  <c r="I411" i="1"/>
  <c r="K411" i="1" s="1"/>
  <c r="J415" i="1"/>
  <c r="K523" i="2"/>
  <c r="K235" i="3"/>
  <c r="K523" i="3"/>
  <c r="I21" i="4"/>
  <c r="K21" i="4" s="1"/>
  <c r="I185" i="4"/>
  <c r="K185" i="4" s="1"/>
  <c r="I275" i="4"/>
  <c r="K275" i="4" s="1"/>
  <c r="K508" i="4"/>
  <c r="K511" i="4"/>
  <c r="K525" i="4"/>
  <c r="K235" i="5"/>
  <c r="K350" i="5"/>
  <c r="K392" i="5"/>
  <c r="K509" i="5"/>
  <c r="K522" i="5"/>
  <c r="I185" i="6"/>
  <c r="K185" i="6" s="1"/>
  <c r="I275" i="6"/>
  <c r="K275" i="6" s="1"/>
  <c r="K522" i="6"/>
  <c r="K238" i="7"/>
  <c r="K240" i="7"/>
  <c r="I311" i="7"/>
  <c r="K311" i="7" s="1"/>
  <c r="I490" i="7"/>
  <c r="K490" i="7" s="1"/>
  <c r="K508" i="7"/>
  <c r="K510" i="7"/>
  <c r="I21" i="8"/>
  <c r="K21" i="8" s="1"/>
  <c r="L73" i="8"/>
  <c r="N73" i="8" s="1"/>
  <c r="I410" i="1"/>
  <c r="K410" i="1" s="1"/>
  <c r="N333" i="9"/>
  <c r="K524" i="9"/>
  <c r="K526" i="9"/>
  <c r="I296" i="10"/>
  <c r="K296" i="10" s="1"/>
  <c r="K313" i="11"/>
  <c r="I296" i="11"/>
  <c r="K296" i="11" s="1"/>
  <c r="I325" i="11"/>
  <c r="K325" i="11" s="1"/>
  <c r="N72" i="13"/>
  <c r="N148" i="13"/>
  <c r="L146" i="13"/>
  <c r="N146" i="13" s="1"/>
  <c r="L446" i="13"/>
  <c r="N446" i="13" s="1"/>
  <c r="N447" i="13"/>
  <c r="I199" i="14"/>
  <c r="K199" i="14" s="1"/>
  <c r="K209" i="14"/>
  <c r="K266" i="14"/>
  <c r="I262" i="14"/>
  <c r="I244" i="14" s="1"/>
  <c r="K244" i="14" s="1"/>
  <c r="K62" i="15"/>
  <c r="I63" i="15"/>
  <c r="K63" i="15" s="1"/>
  <c r="I52" i="15"/>
  <c r="K52" i="15" s="1"/>
  <c r="K22" i="16"/>
  <c r="I20" i="16"/>
  <c r="L131" i="16"/>
  <c r="N132" i="16"/>
  <c r="N333" i="16"/>
  <c r="L332" i="16"/>
  <c r="K22" i="18"/>
  <c r="I20" i="18"/>
  <c r="K20" i="18" s="1"/>
  <c r="K345" i="20"/>
  <c r="I344" i="20"/>
  <c r="K344" i="20" s="1"/>
  <c r="N354" i="20"/>
  <c r="L352" i="20"/>
  <c r="N352" i="20" s="1"/>
  <c r="K83" i="10"/>
  <c r="I74" i="10"/>
  <c r="K74" i="10" s="1"/>
  <c r="N279" i="10"/>
  <c r="L278" i="10"/>
  <c r="L275" i="10" s="1"/>
  <c r="N275" i="10" s="1"/>
  <c r="L131" i="11"/>
  <c r="L129" i="11" s="1"/>
  <c r="N129" i="11" s="1"/>
  <c r="N132" i="11"/>
  <c r="K240" i="11"/>
  <c r="J228" i="11"/>
  <c r="K228" i="11" s="1"/>
  <c r="K453" i="11"/>
  <c r="I444" i="11"/>
  <c r="K444" i="11" s="1"/>
  <c r="K125" i="13"/>
  <c r="I114" i="13"/>
  <c r="K114" i="13" s="1"/>
  <c r="K83" i="15"/>
  <c r="I74" i="15"/>
  <c r="K74" i="15" s="1"/>
  <c r="K228" i="16"/>
  <c r="N92" i="17"/>
  <c r="L91" i="17"/>
  <c r="K89" i="2"/>
  <c r="L73" i="2"/>
  <c r="L71" i="2" s="1"/>
  <c r="K321" i="2"/>
  <c r="J524" i="1"/>
  <c r="J236" i="1"/>
  <c r="K524" i="3"/>
  <c r="I311" i="4"/>
  <c r="K311" i="4" s="1"/>
  <c r="K316" i="4"/>
  <c r="K361" i="4"/>
  <c r="I376" i="4"/>
  <c r="K376" i="4" s="1"/>
  <c r="K507" i="4"/>
  <c r="K510" i="4"/>
  <c r="K521" i="4"/>
  <c r="K236" i="5"/>
  <c r="K361" i="5"/>
  <c r="I376" i="5"/>
  <c r="K376" i="5" s="1"/>
  <c r="K508" i="5"/>
  <c r="K511" i="5"/>
  <c r="K523" i="5"/>
  <c r="K361" i="6"/>
  <c r="I376" i="6"/>
  <c r="K376" i="6" s="1"/>
  <c r="K510" i="6"/>
  <c r="K525" i="6"/>
  <c r="J486" i="1"/>
  <c r="K507" i="7"/>
  <c r="J482" i="1"/>
  <c r="K490" i="8"/>
  <c r="L73" i="9"/>
  <c r="N73" i="9" s="1"/>
  <c r="I199" i="9"/>
  <c r="K199" i="9" s="1"/>
  <c r="K209" i="9"/>
  <c r="K236" i="9"/>
  <c r="I228" i="9"/>
  <c r="K228" i="9" s="1"/>
  <c r="I426" i="9"/>
  <c r="K426" i="9" s="1"/>
  <c r="L201" i="10"/>
  <c r="K83" i="11"/>
  <c r="I74" i="11"/>
  <c r="K74" i="11" s="1"/>
  <c r="L187" i="11"/>
  <c r="I214" i="11"/>
  <c r="K214" i="11" s="1"/>
  <c r="L230" i="11"/>
  <c r="N230" i="11" s="1"/>
  <c r="N231" i="11"/>
  <c r="K209" i="12"/>
  <c r="I199" i="12"/>
  <c r="K199" i="12" s="1"/>
  <c r="K312" i="12"/>
  <c r="I311" i="12"/>
  <c r="K311" i="12" s="1"/>
  <c r="I297" i="12"/>
  <c r="K297" i="12" s="1"/>
  <c r="K23" i="13"/>
  <c r="I21" i="13"/>
  <c r="K98" i="13"/>
  <c r="I89" i="13"/>
  <c r="K89" i="13" s="1"/>
  <c r="N203" i="13"/>
  <c r="L201" i="13"/>
  <c r="L199" i="13" s="1"/>
  <c r="N199" i="13" s="1"/>
  <c r="I444" i="13"/>
  <c r="K444" i="13" s="1"/>
  <c r="K453" i="13"/>
  <c r="K27" i="17"/>
  <c r="I21" i="17"/>
  <c r="K21" i="17" s="1"/>
  <c r="K111" i="19"/>
  <c r="I101" i="19"/>
  <c r="K101" i="19" s="1"/>
  <c r="N353" i="21"/>
  <c r="L352" i="21"/>
  <c r="N352" i="21" s="1"/>
  <c r="N429" i="21"/>
  <c r="L428" i="21"/>
  <c r="N428" i="21" s="1"/>
  <c r="N476" i="21"/>
  <c r="L475" i="21"/>
  <c r="I409" i="1"/>
  <c r="K409" i="1" s="1"/>
  <c r="J413" i="1"/>
  <c r="L103" i="10"/>
  <c r="N103" i="10" s="1"/>
  <c r="K236" i="10"/>
  <c r="K523" i="10"/>
  <c r="K526" i="10"/>
  <c r="L76" i="11"/>
  <c r="I89" i="11"/>
  <c r="K89" i="11" s="1"/>
  <c r="I199" i="11"/>
  <c r="K199" i="11" s="1"/>
  <c r="K238" i="11"/>
  <c r="K263" i="11"/>
  <c r="I297" i="11"/>
  <c r="K297" i="11" s="1"/>
  <c r="I311" i="11"/>
  <c r="K311" i="11" s="1"/>
  <c r="K23" i="12"/>
  <c r="I21" i="12"/>
  <c r="K21" i="12" s="1"/>
  <c r="L146" i="12"/>
  <c r="N447" i="12"/>
  <c r="N493" i="12"/>
  <c r="L492" i="12"/>
  <c r="K511" i="12"/>
  <c r="K505" i="12"/>
  <c r="K521" i="12"/>
  <c r="L73" i="13"/>
  <c r="N73" i="13" s="1"/>
  <c r="N132" i="13"/>
  <c r="L131" i="13"/>
  <c r="N188" i="13"/>
  <c r="L187" i="13"/>
  <c r="K224" i="13"/>
  <c r="K326" i="13"/>
  <c r="I21" i="14"/>
  <c r="K48" i="14"/>
  <c r="I33" i="14"/>
  <c r="K33" i="14" s="1"/>
  <c r="K125" i="14"/>
  <c r="I114" i="14"/>
  <c r="K114" i="14" s="1"/>
  <c r="N429" i="14"/>
  <c r="L73" i="15"/>
  <c r="N73" i="15" s="1"/>
  <c r="L131" i="15"/>
  <c r="K291" i="15"/>
  <c r="I276" i="15"/>
  <c r="K276" i="15" s="1"/>
  <c r="K313" i="15"/>
  <c r="I296" i="15"/>
  <c r="K296" i="15" s="1"/>
  <c r="I426" i="15"/>
  <c r="K426" i="15" s="1"/>
  <c r="N476" i="15"/>
  <c r="L475" i="15"/>
  <c r="N475" i="15" s="1"/>
  <c r="K511" i="15"/>
  <c r="K507" i="15"/>
  <c r="K508" i="15"/>
  <c r="K27" i="16"/>
  <c r="I21" i="16"/>
  <c r="I10" i="16" s="1"/>
  <c r="K10" i="16" s="1"/>
  <c r="K111" i="16"/>
  <c r="N148" i="16"/>
  <c r="L146" i="16"/>
  <c r="L144" i="16" s="1"/>
  <c r="K266" i="16"/>
  <c r="I262" i="16"/>
  <c r="L146" i="17"/>
  <c r="K48" i="18"/>
  <c r="K345" i="18"/>
  <c r="I344" i="18"/>
  <c r="I330" i="18" s="1"/>
  <c r="K330" i="18" s="1"/>
  <c r="I426" i="18"/>
  <c r="K426" i="18" s="1"/>
  <c r="N429" i="18"/>
  <c r="L428" i="18"/>
  <c r="L426" i="18" s="1"/>
  <c r="N426" i="18" s="1"/>
  <c r="L187" i="19"/>
  <c r="L185" i="19" s="1"/>
  <c r="N185" i="19" s="1"/>
  <c r="K195" i="19"/>
  <c r="I185" i="19"/>
  <c r="K185" i="19" s="1"/>
  <c r="N218" i="19"/>
  <c r="L216" i="19"/>
  <c r="I325" i="19"/>
  <c r="K325" i="19" s="1"/>
  <c r="K326" i="19"/>
  <c r="K24" i="20"/>
  <c r="I20" i="20"/>
  <c r="K20" i="20" s="1"/>
  <c r="N476" i="20"/>
  <c r="L475" i="20"/>
  <c r="N475" i="20" s="1"/>
  <c r="K512" i="20"/>
  <c r="K507" i="20"/>
  <c r="K511" i="20"/>
  <c r="K508" i="20"/>
  <c r="K509" i="20"/>
  <c r="L9" i="21"/>
  <c r="N9" i="21" s="1"/>
  <c r="N12" i="21"/>
  <c r="K138" i="21"/>
  <c r="I129" i="21"/>
  <c r="K129" i="21" s="1"/>
  <c r="I149" i="21"/>
  <c r="K155" i="21"/>
  <c r="N493" i="21"/>
  <c r="L492" i="21"/>
  <c r="N492" i="21" s="1"/>
  <c r="I20" i="22"/>
  <c r="K22" i="22"/>
  <c r="I21" i="10"/>
  <c r="K21" i="10" s="1"/>
  <c r="K524" i="11"/>
  <c r="N493" i="13"/>
  <c r="L492" i="13"/>
  <c r="K511" i="13"/>
  <c r="K505" i="13"/>
  <c r="K62" i="14"/>
  <c r="I52" i="14"/>
  <c r="K52" i="14" s="1"/>
  <c r="N77" i="14"/>
  <c r="L76" i="14"/>
  <c r="L74" i="14" s="1"/>
  <c r="N74" i="14" s="1"/>
  <c r="N188" i="14"/>
  <c r="L187" i="14"/>
  <c r="K195" i="15"/>
  <c r="I185" i="15"/>
  <c r="K185" i="15" s="1"/>
  <c r="K236" i="15"/>
  <c r="I311" i="15"/>
  <c r="K312" i="15"/>
  <c r="K345" i="15"/>
  <c r="I344" i="15"/>
  <c r="K344" i="15" s="1"/>
  <c r="K455" i="15"/>
  <c r="I444" i="15"/>
  <c r="K444" i="15" s="1"/>
  <c r="K527" i="15"/>
  <c r="N172" i="16"/>
  <c r="L171" i="16"/>
  <c r="L169" i="16" s="1"/>
  <c r="N169" i="16" s="1"/>
  <c r="K22" i="17"/>
  <c r="I20" i="17"/>
  <c r="I377" i="17"/>
  <c r="K377" i="17" s="1"/>
  <c r="K361" i="17"/>
  <c r="N460" i="17"/>
  <c r="L459" i="17"/>
  <c r="N459" i="17" s="1"/>
  <c r="I185" i="18"/>
  <c r="K185" i="18" s="1"/>
  <c r="K195" i="18"/>
  <c r="K361" i="19"/>
  <c r="I369" i="19"/>
  <c r="K369" i="19" s="1"/>
  <c r="N447" i="19"/>
  <c r="L446" i="19"/>
  <c r="K512" i="19"/>
  <c r="K504" i="19"/>
  <c r="K505" i="19"/>
  <c r="K510" i="19"/>
  <c r="K508" i="19"/>
  <c r="I490" i="19"/>
  <c r="K490" i="19" s="1"/>
  <c r="N55" i="20"/>
  <c r="L54" i="20"/>
  <c r="N54" i="20" s="1"/>
  <c r="N92" i="20"/>
  <c r="L91" i="20"/>
  <c r="L89" i="20" s="1"/>
  <c r="N89" i="20" s="1"/>
  <c r="K111" i="20"/>
  <c r="I101" i="20"/>
  <c r="K101" i="20" s="1"/>
  <c r="L230" i="22"/>
  <c r="N230" i="22" s="1"/>
  <c r="N231" i="22"/>
  <c r="I32" i="10"/>
  <c r="K32" i="10" s="1"/>
  <c r="L73" i="10"/>
  <c r="L71" i="10" s="1"/>
  <c r="L216" i="10"/>
  <c r="L230" i="10"/>
  <c r="K359" i="10"/>
  <c r="I369" i="10"/>
  <c r="K369" i="10" s="1"/>
  <c r="I444" i="10"/>
  <c r="K444" i="10" s="1"/>
  <c r="K22" i="11"/>
  <c r="I275" i="11"/>
  <c r="K275" i="11" s="1"/>
  <c r="K321" i="11"/>
  <c r="K111" i="12"/>
  <c r="K195" i="12"/>
  <c r="I185" i="12"/>
  <c r="K185" i="12" s="1"/>
  <c r="J228" i="12"/>
  <c r="K228" i="12" s="1"/>
  <c r="N248" i="13"/>
  <c r="L247" i="13"/>
  <c r="N247" i="13" s="1"/>
  <c r="K264" i="13"/>
  <c r="I262" i="13"/>
  <c r="K262" i="13" s="1"/>
  <c r="I296" i="13"/>
  <c r="K296" i="13" s="1"/>
  <c r="K317" i="13"/>
  <c r="I376" i="13"/>
  <c r="K376" i="13" s="1"/>
  <c r="I350" i="13"/>
  <c r="K350" i="13" s="1"/>
  <c r="I63" i="14"/>
  <c r="K63" i="14" s="1"/>
  <c r="L129" i="14"/>
  <c r="N129" i="14" s="1"/>
  <c r="N231" i="14"/>
  <c r="N279" i="14"/>
  <c r="I296" i="14"/>
  <c r="K296" i="14" s="1"/>
  <c r="I444" i="14"/>
  <c r="K444" i="14" s="1"/>
  <c r="N447" i="14"/>
  <c r="L446" i="14"/>
  <c r="N446" i="14" s="1"/>
  <c r="K466" i="14"/>
  <c r="I457" i="14"/>
  <c r="K457" i="14" s="1"/>
  <c r="K25" i="15"/>
  <c r="I21" i="15"/>
  <c r="N72" i="15"/>
  <c r="K74" i="16"/>
  <c r="N77" i="16"/>
  <c r="L73" i="16"/>
  <c r="N73" i="16" s="1"/>
  <c r="I275" i="16"/>
  <c r="K275" i="16" s="1"/>
  <c r="N476" i="16"/>
  <c r="L475" i="16"/>
  <c r="N475" i="16" s="1"/>
  <c r="K511" i="16"/>
  <c r="K507" i="16"/>
  <c r="K508" i="16"/>
  <c r="L201" i="17"/>
  <c r="L214" i="17"/>
  <c r="N214" i="17" s="1"/>
  <c r="K238" i="17"/>
  <c r="I275" i="17"/>
  <c r="K275" i="17" s="1"/>
  <c r="I297" i="18"/>
  <c r="K297" i="18" s="1"/>
  <c r="I311" i="18"/>
  <c r="K311" i="18" s="1"/>
  <c r="I89" i="19"/>
  <c r="K89" i="19" s="1"/>
  <c r="K98" i="19"/>
  <c r="N231" i="19"/>
  <c r="L230" i="19"/>
  <c r="N230" i="19" s="1"/>
  <c r="K511" i="19"/>
  <c r="I32" i="20"/>
  <c r="K32" i="20" s="1"/>
  <c r="I262" i="20"/>
  <c r="K262" i="20" s="1"/>
  <c r="K266" i="20"/>
  <c r="K83" i="21"/>
  <c r="I74" i="21"/>
  <c r="K74" i="21" s="1"/>
  <c r="K180" i="22"/>
  <c r="K527" i="12"/>
  <c r="L428" i="13"/>
  <c r="L426" i="13" s="1"/>
  <c r="N426" i="13" s="1"/>
  <c r="K527" i="13"/>
  <c r="K390" i="14"/>
  <c r="K515" i="14"/>
  <c r="K517" i="14"/>
  <c r="K523" i="14"/>
  <c r="K521" i="15"/>
  <c r="I311" i="16"/>
  <c r="K311" i="16" s="1"/>
  <c r="N353" i="16"/>
  <c r="L352" i="16"/>
  <c r="K524" i="17"/>
  <c r="L73" i="18"/>
  <c r="N73" i="18" s="1"/>
  <c r="N77" i="18"/>
  <c r="L76" i="18"/>
  <c r="N76" i="18" s="1"/>
  <c r="N104" i="18"/>
  <c r="L103" i="18"/>
  <c r="N248" i="18"/>
  <c r="L247" i="18"/>
  <c r="L244" i="18" s="1"/>
  <c r="K291" i="18"/>
  <c r="I276" i="18"/>
  <c r="K276" i="18" s="1"/>
  <c r="N72" i="19"/>
  <c r="K521" i="19"/>
  <c r="K523" i="19"/>
  <c r="N35" i="20"/>
  <c r="L32" i="20"/>
  <c r="N32" i="20" s="1"/>
  <c r="K525" i="20"/>
  <c r="I33" i="21"/>
  <c r="K33" i="21" s="1"/>
  <c r="K48" i="21"/>
  <c r="N117" i="21"/>
  <c r="L116" i="21"/>
  <c r="N116" i="21" s="1"/>
  <c r="K180" i="21"/>
  <c r="I169" i="21"/>
  <c r="K169" i="21" s="1"/>
  <c r="K440" i="21"/>
  <c r="I426" i="21"/>
  <c r="K426" i="21" s="1"/>
  <c r="K466" i="21"/>
  <c r="I457" i="21"/>
  <c r="K457" i="21" s="1"/>
  <c r="K512" i="21"/>
  <c r="K506" i="21"/>
  <c r="K507" i="21"/>
  <c r="I490" i="21"/>
  <c r="K490" i="21" s="1"/>
  <c r="K519" i="21"/>
  <c r="K516" i="21"/>
  <c r="N279" i="22"/>
  <c r="L278" i="22"/>
  <c r="L475" i="11"/>
  <c r="N475" i="11" s="1"/>
  <c r="K528" i="11"/>
  <c r="K236" i="12"/>
  <c r="K238" i="12"/>
  <c r="I270" i="12"/>
  <c r="K270" i="12" s="1"/>
  <c r="K488" i="12"/>
  <c r="K515" i="12"/>
  <c r="K517" i="12"/>
  <c r="K523" i="12"/>
  <c r="L278" i="13"/>
  <c r="N278" i="13" s="1"/>
  <c r="K515" i="13"/>
  <c r="K517" i="13"/>
  <c r="K523" i="13"/>
  <c r="I74" i="14"/>
  <c r="K74" i="14" s="1"/>
  <c r="I129" i="14"/>
  <c r="L73" i="14"/>
  <c r="I169" i="14"/>
  <c r="K169" i="14" s="1"/>
  <c r="I89" i="15"/>
  <c r="K89" i="15" s="1"/>
  <c r="K235" i="15"/>
  <c r="K240" i="16"/>
  <c r="I377" i="16"/>
  <c r="K377" i="16" s="1"/>
  <c r="K361" i="16"/>
  <c r="K521" i="16"/>
  <c r="K44" i="17"/>
  <c r="I32" i="17"/>
  <c r="K32" i="17" s="1"/>
  <c r="L9" i="18"/>
  <c r="N9" i="18" s="1"/>
  <c r="N12" i="18"/>
  <c r="K392" i="18"/>
  <c r="I457" i="18"/>
  <c r="K457" i="18" s="1"/>
  <c r="K466" i="18"/>
  <c r="N148" i="19"/>
  <c r="L146" i="19"/>
  <c r="L144" i="19" s="1"/>
  <c r="N144" i="19" s="1"/>
  <c r="K238" i="19"/>
  <c r="K240" i="19"/>
  <c r="I267" i="19"/>
  <c r="K267" i="19" s="1"/>
  <c r="K263" i="19"/>
  <c r="L73" i="20"/>
  <c r="N73" i="20" s="1"/>
  <c r="L76" i="20"/>
  <c r="N76" i="20" s="1"/>
  <c r="K138" i="20"/>
  <c r="I129" i="20"/>
  <c r="K291" i="21"/>
  <c r="I276" i="21"/>
  <c r="K276" i="21" s="1"/>
  <c r="J473" i="21"/>
  <c r="K473" i="21" s="1"/>
  <c r="K488" i="21"/>
  <c r="N72" i="22"/>
  <c r="L299" i="22"/>
  <c r="N300" i="22"/>
  <c r="K526" i="16"/>
  <c r="K507" i="17"/>
  <c r="K522" i="17"/>
  <c r="K525" i="17"/>
  <c r="L352" i="18"/>
  <c r="K482" i="18"/>
  <c r="K524" i="19"/>
  <c r="K523" i="21"/>
  <c r="K525" i="21"/>
  <c r="K510" i="16"/>
  <c r="K527" i="16"/>
  <c r="I89" i="17"/>
  <c r="K89" i="17" s="1"/>
  <c r="K235" i="17"/>
  <c r="K505" i="17"/>
  <c r="K514" i="17"/>
  <c r="I74" i="18"/>
  <c r="K74" i="18" s="1"/>
  <c r="I296" i="18"/>
  <c r="K296" i="18" s="1"/>
  <c r="K235" i="19"/>
  <c r="K392" i="19"/>
  <c r="N117" i="20"/>
  <c r="L116" i="20"/>
  <c r="L114" i="20" s="1"/>
  <c r="N114" i="20" s="1"/>
  <c r="N172" i="20"/>
  <c r="L171" i="20"/>
  <c r="N171" i="20" s="1"/>
  <c r="K455" i="20"/>
  <c r="I444" i="20"/>
  <c r="K444" i="20" s="1"/>
  <c r="K111" i="21"/>
  <c r="I101" i="21"/>
  <c r="K101" i="21" s="1"/>
  <c r="I262" i="21"/>
  <c r="K345" i="21"/>
  <c r="I344" i="21"/>
  <c r="K344" i="21" s="1"/>
  <c r="I267" i="22"/>
  <c r="K267" i="22" s="1"/>
  <c r="K263" i="22"/>
  <c r="I20" i="21"/>
  <c r="K240" i="21"/>
  <c r="L332" i="21"/>
  <c r="N332" i="21" s="1"/>
  <c r="K486" i="21"/>
  <c r="K526" i="21"/>
  <c r="I368" i="22"/>
  <c r="K368" i="22" s="1"/>
  <c r="K516" i="22"/>
  <c r="K518" i="22"/>
  <c r="K527" i="22"/>
  <c r="I311" i="21"/>
  <c r="K482" i="21"/>
  <c r="K522" i="21"/>
  <c r="K515" i="22"/>
  <c r="K517" i="22"/>
  <c r="K392" i="3"/>
  <c r="J392" i="1"/>
  <c r="N104" i="2"/>
  <c r="L103" i="2"/>
  <c r="L104" i="1"/>
  <c r="N104" i="1" s="1"/>
  <c r="N148" i="2"/>
  <c r="L146" i="2"/>
  <c r="K347" i="2"/>
  <c r="I347" i="1"/>
  <c r="K347" i="1" s="1"/>
  <c r="J377" i="2"/>
  <c r="J377" i="1" s="1"/>
  <c r="J383" i="1"/>
  <c r="I390" i="1"/>
  <c r="K390" i="2"/>
  <c r="M444" i="2"/>
  <c r="M459" i="2"/>
  <c r="N461" i="2"/>
  <c r="M461" i="1"/>
  <c r="N76" i="4"/>
  <c r="M74" i="4"/>
  <c r="M76" i="1"/>
  <c r="N92" i="5"/>
  <c r="L91" i="5"/>
  <c r="L73" i="5"/>
  <c r="N73" i="5" s="1"/>
  <c r="K138" i="6"/>
  <c r="I129" i="6"/>
  <c r="K523" i="6"/>
  <c r="J523" i="1"/>
  <c r="I114" i="7"/>
  <c r="K114" i="7" s="1"/>
  <c r="K125" i="7"/>
  <c r="K316" i="7"/>
  <c r="J311" i="7"/>
  <c r="J297" i="7" s="1"/>
  <c r="N333" i="7"/>
  <c r="L332" i="7"/>
  <c r="K525" i="8"/>
  <c r="I525" i="1"/>
  <c r="K528" i="8"/>
  <c r="I528" i="1"/>
  <c r="N493" i="9"/>
  <c r="L492" i="9"/>
  <c r="L493" i="1"/>
  <c r="N493" i="1" s="1"/>
  <c r="J522" i="1"/>
  <c r="K522" i="9"/>
  <c r="K44" i="2"/>
  <c r="I32" i="2"/>
  <c r="N218" i="2"/>
  <c r="L216" i="2"/>
  <c r="L218" i="1"/>
  <c r="N218" i="1" s="1"/>
  <c r="M296" i="2"/>
  <c r="K316" i="2"/>
  <c r="I311" i="2"/>
  <c r="K318" i="2"/>
  <c r="I318" i="1"/>
  <c r="K318" i="1" s="1"/>
  <c r="K510" i="2"/>
  <c r="K508" i="2"/>
  <c r="K504" i="2"/>
  <c r="K511" i="2"/>
  <c r="K509" i="2"/>
  <c r="K505" i="2"/>
  <c r="I504" i="1"/>
  <c r="K508" i="1" s="1"/>
  <c r="K507" i="2"/>
  <c r="K512" i="2"/>
  <c r="K506" i="2"/>
  <c r="I490" i="2"/>
  <c r="I270" i="3"/>
  <c r="K272" i="3"/>
  <c r="K361" i="3"/>
  <c r="I369" i="3"/>
  <c r="K369" i="3" s="1"/>
  <c r="N448" i="3"/>
  <c r="L446" i="3"/>
  <c r="K528" i="3"/>
  <c r="J528" i="1"/>
  <c r="M144" i="4"/>
  <c r="N172" i="4"/>
  <c r="L171" i="4"/>
  <c r="N55" i="5"/>
  <c r="L54" i="5"/>
  <c r="N117" i="6"/>
  <c r="L116" i="6"/>
  <c r="L73" i="6"/>
  <c r="N73" i="6" s="1"/>
  <c r="N104" i="7"/>
  <c r="L103" i="7"/>
  <c r="M71" i="8"/>
  <c r="M73" i="1"/>
  <c r="K455" i="8"/>
  <c r="I455" i="1"/>
  <c r="K455" i="1" s="1"/>
  <c r="N447" i="9"/>
  <c r="L446" i="9"/>
  <c r="N92" i="2"/>
  <c r="L91" i="2"/>
  <c r="L92" i="1"/>
  <c r="N92" i="1" s="1"/>
  <c r="K126" i="2"/>
  <c r="I126" i="1"/>
  <c r="K126" i="1" s="1"/>
  <c r="K155" i="2"/>
  <c r="I149" i="2"/>
  <c r="N280" i="2"/>
  <c r="L280" i="1"/>
  <c r="N280" i="1" s="1"/>
  <c r="I314" i="1"/>
  <c r="K314" i="1" s="1"/>
  <c r="K314" i="2"/>
  <c r="K361" i="2"/>
  <c r="I361" i="1"/>
  <c r="K361" i="1" s="1"/>
  <c r="I369" i="2"/>
  <c r="I486" i="1"/>
  <c r="K486" i="2"/>
  <c r="M242" i="3"/>
  <c r="M459" i="3"/>
  <c r="M457" i="3" s="1"/>
  <c r="N461" i="3"/>
  <c r="N218" i="5"/>
  <c r="L216" i="5"/>
  <c r="M144" i="6"/>
  <c r="N172" i="6"/>
  <c r="L171" i="6"/>
  <c r="L73" i="7"/>
  <c r="N73" i="7" s="1"/>
  <c r="K111" i="9"/>
  <c r="I101" i="9"/>
  <c r="J330" i="9"/>
  <c r="J330" i="1" s="1"/>
  <c r="J344" i="1"/>
  <c r="J359" i="9"/>
  <c r="J350" i="9" s="1"/>
  <c r="J376" i="1"/>
  <c r="N131" i="2"/>
  <c r="L129" i="2"/>
  <c r="K138" i="2"/>
  <c r="I129" i="2"/>
  <c r="M199" i="2"/>
  <c r="M199" i="1" s="1"/>
  <c r="M201" i="1"/>
  <c r="J312" i="1"/>
  <c r="K312" i="2"/>
  <c r="J311" i="2"/>
  <c r="J401" i="1"/>
  <c r="J391" i="2"/>
  <c r="N448" i="2"/>
  <c r="L446" i="2"/>
  <c r="L448" i="1"/>
  <c r="K454" i="2"/>
  <c r="I454" i="1"/>
  <c r="K526" i="2"/>
  <c r="I526" i="1"/>
  <c r="N12" i="3"/>
  <c r="M9" i="3"/>
  <c r="K510" i="3"/>
  <c r="K508" i="3"/>
  <c r="K504" i="3"/>
  <c r="K511" i="3"/>
  <c r="K509" i="3"/>
  <c r="K505" i="3"/>
  <c r="K507" i="3"/>
  <c r="K512" i="3"/>
  <c r="K506" i="3"/>
  <c r="I490" i="3"/>
  <c r="K490" i="3" s="1"/>
  <c r="I20" i="4"/>
  <c r="K22" i="4"/>
  <c r="N353" i="4"/>
  <c r="L352" i="4"/>
  <c r="I262" i="5"/>
  <c r="K264" i="5"/>
  <c r="I264" i="1"/>
  <c r="K264" i="1" s="1"/>
  <c r="M446" i="6"/>
  <c r="M444" i="6" s="1"/>
  <c r="M448" i="1"/>
  <c r="M494" i="1"/>
  <c r="N494" i="7"/>
  <c r="M492" i="7"/>
  <c r="K313" i="8"/>
  <c r="I313" i="1"/>
  <c r="K313" i="1" s="1"/>
  <c r="N72" i="9"/>
  <c r="L72" i="1"/>
  <c r="N72" i="1" s="1"/>
  <c r="M71" i="10"/>
  <c r="M68" i="10" s="1"/>
  <c r="J158" i="1"/>
  <c r="I235" i="1"/>
  <c r="I272" i="1"/>
  <c r="K272" i="1" s="1"/>
  <c r="I320" i="1"/>
  <c r="K320" i="1" s="1"/>
  <c r="I360" i="1"/>
  <c r="K360" i="1" s="1"/>
  <c r="J416" i="1"/>
  <c r="M428" i="1"/>
  <c r="L430" i="1"/>
  <c r="N430" i="1" s="1"/>
  <c r="K22" i="2"/>
  <c r="K33" i="2"/>
  <c r="N55" i="2"/>
  <c r="L54" i="2"/>
  <c r="I74" i="2"/>
  <c r="N117" i="2"/>
  <c r="L116" i="2"/>
  <c r="K264" i="2"/>
  <c r="I262" i="2"/>
  <c r="I291" i="1"/>
  <c r="K291" i="1" s="1"/>
  <c r="K323" i="2"/>
  <c r="N460" i="2"/>
  <c r="L459" i="2"/>
  <c r="I482" i="1"/>
  <c r="K482" i="2"/>
  <c r="K516" i="2"/>
  <c r="K527" i="2"/>
  <c r="N9" i="3"/>
  <c r="K62" i="3"/>
  <c r="I63" i="3"/>
  <c r="K63" i="3" s="1"/>
  <c r="I52" i="3"/>
  <c r="K52" i="3" s="1"/>
  <c r="K125" i="3"/>
  <c r="I114" i="3"/>
  <c r="K114" i="3" s="1"/>
  <c r="L129" i="3"/>
  <c r="N129" i="3" s="1"/>
  <c r="L146" i="3"/>
  <c r="N172" i="3"/>
  <c r="L171" i="3"/>
  <c r="L216" i="3"/>
  <c r="K236" i="3"/>
  <c r="I311" i="3"/>
  <c r="K311" i="3" s="1"/>
  <c r="N334" i="3"/>
  <c r="N354" i="3"/>
  <c r="N460" i="3"/>
  <c r="L459" i="3"/>
  <c r="K516" i="3"/>
  <c r="I74" i="4"/>
  <c r="K74" i="4" s="1"/>
  <c r="L216" i="4"/>
  <c r="N333" i="4"/>
  <c r="L332" i="4"/>
  <c r="N35" i="5"/>
  <c r="M32" i="5"/>
  <c r="N32" i="5" s="1"/>
  <c r="K44" i="5"/>
  <c r="I32" i="5"/>
  <c r="K32" i="5" s="1"/>
  <c r="K48" i="5"/>
  <c r="I33" i="5"/>
  <c r="I63" i="5"/>
  <c r="K63" i="5" s="1"/>
  <c r="I52" i="5"/>
  <c r="K52" i="5" s="1"/>
  <c r="K62" i="5"/>
  <c r="K155" i="5"/>
  <c r="I149" i="5"/>
  <c r="M242" i="5"/>
  <c r="N333" i="5"/>
  <c r="L332" i="5"/>
  <c r="N353" i="5"/>
  <c r="L352" i="5"/>
  <c r="N104" i="6"/>
  <c r="L103" i="6"/>
  <c r="I114" i="6"/>
  <c r="K114" i="6" s="1"/>
  <c r="K125" i="6"/>
  <c r="L216" i="6"/>
  <c r="N333" i="6"/>
  <c r="L332" i="6"/>
  <c r="N353" i="6"/>
  <c r="L352" i="6"/>
  <c r="N117" i="7"/>
  <c r="L116" i="7"/>
  <c r="N172" i="7"/>
  <c r="L171" i="7"/>
  <c r="N353" i="7"/>
  <c r="L352" i="7"/>
  <c r="K391" i="7"/>
  <c r="J390" i="7"/>
  <c r="K390" i="7" s="1"/>
  <c r="N76" i="8"/>
  <c r="L74" i="8"/>
  <c r="N74" i="8" s="1"/>
  <c r="K98" i="8"/>
  <c r="I89" i="8"/>
  <c r="M278" i="8"/>
  <c r="N280" i="8"/>
  <c r="K319" i="8"/>
  <c r="I319" i="1"/>
  <c r="K319" i="1" s="1"/>
  <c r="N334" i="8"/>
  <c r="L334" i="1"/>
  <c r="K129" i="9"/>
  <c r="J68" i="9"/>
  <c r="I169" i="9"/>
  <c r="N477" i="9"/>
  <c r="L475" i="9"/>
  <c r="L477" i="1"/>
  <c r="N477" i="1" s="1"/>
  <c r="M6" i="10"/>
  <c r="K195" i="10"/>
  <c r="I185" i="10"/>
  <c r="K185" i="10" s="1"/>
  <c r="N92" i="11"/>
  <c r="L91" i="11"/>
  <c r="L73" i="11"/>
  <c r="N301" i="2"/>
  <c r="L301" i="1"/>
  <c r="N301" i="1" s="1"/>
  <c r="N333" i="2"/>
  <c r="L332" i="2"/>
  <c r="L333" i="1"/>
  <c r="N333" i="1" s="1"/>
  <c r="N353" i="2"/>
  <c r="L352" i="2"/>
  <c r="L353" i="1"/>
  <c r="N353" i="1" s="1"/>
  <c r="J369" i="1"/>
  <c r="M426" i="1"/>
  <c r="K456" i="2"/>
  <c r="I456" i="1"/>
  <c r="J487" i="1"/>
  <c r="K514" i="2"/>
  <c r="K517" i="2"/>
  <c r="K515" i="2"/>
  <c r="K513" i="2"/>
  <c r="I513" i="1"/>
  <c r="N55" i="3"/>
  <c r="L54" i="3"/>
  <c r="K74" i="3"/>
  <c r="N117" i="3"/>
  <c r="L116" i="3"/>
  <c r="K264" i="3"/>
  <c r="I262" i="3"/>
  <c r="N333" i="3"/>
  <c r="L332" i="3"/>
  <c r="N353" i="3"/>
  <c r="L352" i="3"/>
  <c r="K514" i="3"/>
  <c r="K517" i="3"/>
  <c r="K515" i="3"/>
  <c r="K513" i="3"/>
  <c r="M6" i="4"/>
  <c r="N35" i="4"/>
  <c r="L32" i="4"/>
  <c r="K138" i="4"/>
  <c r="I129" i="4"/>
  <c r="M242" i="4"/>
  <c r="K345" i="4"/>
  <c r="I344" i="4"/>
  <c r="K377" i="4"/>
  <c r="K391" i="4"/>
  <c r="J390" i="4"/>
  <c r="K504" i="4"/>
  <c r="J490" i="4"/>
  <c r="K517" i="4"/>
  <c r="K515" i="4"/>
  <c r="K513" i="4"/>
  <c r="K514" i="4"/>
  <c r="K518" i="4"/>
  <c r="K516" i="4"/>
  <c r="N117" i="5"/>
  <c r="L116" i="5"/>
  <c r="K345" i="5"/>
  <c r="I344" i="5"/>
  <c r="K504" i="5"/>
  <c r="J490" i="5"/>
  <c r="K517" i="5"/>
  <c r="K515" i="5"/>
  <c r="K513" i="5"/>
  <c r="K514" i="5"/>
  <c r="K518" i="5"/>
  <c r="K516" i="5"/>
  <c r="K44" i="6"/>
  <c r="I32" i="6"/>
  <c r="K32" i="6" s="1"/>
  <c r="K48" i="6"/>
  <c r="I33" i="6"/>
  <c r="K33" i="6" s="1"/>
  <c r="I63" i="6"/>
  <c r="K63" i="6" s="1"/>
  <c r="I52" i="6"/>
  <c r="K52" i="6" s="1"/>
  <c r="K62" i="6"/>
  <c r="M242" i="6"/>
  <c r="K345" i="6"/>
  <c r="I344" i="6"/>
  <c r="N460" i="6"/>
  <c r="L459" i="6"/>
  <c r="M6" i="7"/>
  <c r="N55" i="7"/>
  <c r="L54" i="7"/>
  <c r="N92" i="7"/>
  <c r="L91" i="7"/>
  <c r="K155" i="7"/>
  <c r="I149" i="7"/>
  <c r="I262" i="7"/>
  <c r="K264" i="7"/>
  <c r="N460" i="7"/>
  <c r="L459" i="7"/>
  <c r="K489" i="7"/>
  <c r="I489" i="1"/>
  <c r="K489" i="1" s="1"/>
  <c r="I315" i="1"/>
  <c r="K315" i="1" s="1"/>
  <c r="K315" i="8"/>
  <c r="M242" i="9"/>
  <c r="K359" i="9"/>
  <c r="I376" i="9"/>
  <c r="K376" i="9" s="1"/>
  <c r="I368" i="9"/>
  <c r="K368" i="9" s="1"/>
  <c r="I350" i="9"/>
  <c r="K350" i="9" s="1"/>
  <c r="N429" i="9"/>
  <c r="L428" i="9"/>
  <c r="L429" i="1"/>
  <c r="N429" i="1" s="1"/>
  <c r="K98" i="10"/>
  <c r="I89" i="10"/>
  <c r="K89" i="10" s="1"/>
  <c r="M459" i="10"/>
  <c r="M457" i="10" s="1"/>
  <c r="N461" i="10"/>
  <c r="K360" i="10"/>
  <c r="I368" i="10"/>
  <c r="K368" i="10" s="1"/>
  <c r="I376" i="10"/>
  <c r="K376" i="10" s="1"/>
  <c r="K361" i="11"/>
  <c r="I369" i="11"/>
  <c r="K369" i="11" s="1"/>
  <c r="I377" i="11"/>
  <c r="K377" i="11" s="1"/>
  <c r="J270" i="1"/>
  <c r="N9" i="2"/>
  <c r="K62" i="2"/>
  <c r="I63" i="2"/>
  <c r="I52" i="2"/>
  <c r="K125" i="2"/>
  <c r="I114" i="2"/>
  <c r="N172" i="2"/>
  <c r="L171" i="2"/>
  <c r="J316" i="1"/>
  <c r="K327" i="2"/>
  <c r="I327" i="1"/>
  <c r="K327" i="1" s="1"/>
  <c r="M332" i="2"/>
  <c r="M334" i="1"/>
  <c r="K345" i="2"/>
  <c r="I344" i="2"/>
  <c r="M352" i="2"/>
  <c r="M354" i="1"/>
  <c r="J483" i="1"/>
  <c r="J513" i="2"/>
  <c r="J513" i="1" s="1"/>
  <c r="J514" i="1"/>
  <c r="K518" i="2"/>
  <c r="K44" i="3"/>
  <c r="I32" i="3"/>
  <c r="K32" i="3" s="1"/>
  <c r="L73" i="3"/>
  <c r="N92" i="3"/>
  <c r="L91" i="3"/>
  <c r="N104" i="3"/>
  <c r="L103" i="3"/>
  <c r="K155" i="3"/>
  <c r="I149" i="3"/>
  <c r="K345" i="3"/>
  <c r="I344" i="3"/>
  <c r="K391" i="3"/>
  <c r="K518" i="3"/>
  <c r="K155" i="4"/>
  <c r="I149" i="4"/>
  <c r="I262" i="4"/>
  <c r="K264" i="4"/>
  <c r="J359" i="1"/>
  <c r="J350" i="4"/>
  <c r="K390" i="4"/>
  <c r="N460" i="4"/>
  <c r="L459" i="4"/>
  <c r="M6" i="5"/>
  <c r="N104" i="5"/>
  <c r="L103" i="5"/>
  <c r="I114" i="5"/>
  <c r="K114" i="5" s="1"/>
  <c r="K125" i="5"/>
  <c r="I129" i="5"/>
  <c r="N172" i="5"/>
  <c r="L171" i="5"/>
  <c r="K377" i="5"/>
  <c r="K391" i="5"/>
  <c r="J390" i="5"/>
  <c r="K390" i="5" s="1"/>
  <c r="N460" i="5"/>
  <c r="L459" i="5"/>
  <c r="M6" i="6"/>
  <c r="N55" i="6"/>
  <c r="L54" i="6"/>
  <c r="N92" i="6"/>
  <c r="L91" i="6"/>
  <c r="K155" i="6"/>
  <c r="I149" i="6"/>
  <c r="I262" i="6"/>
  <c r="K264" i="6"/>
  <c r="J311" i="6"/>
  <c r="J297" i="6" s="1"/>
  <c r="K377" i="6"/>
  <c r="K391" i="6"/>
  <c r="J390" i="6"/>
  <c r="K390" i="6" s="1"/>
  <c r="J504" i="6"/>
  <c r="K517" i="6"/>
  <c r="K515" i="6"/>
  <c r="K513" i="6"/>
  <c r="K514" i="6"/>
  <c r="K518" i="6"/>
  <c r="K516" i="6"/>
  <c r="K44" i="7"/>
  <c r="I32" i="7"/>
  <c r="K32" i="7" s="1"/>
  <c r="K48" i="7"/>
  <c r="I33" i="7"/>
  <c r="K33" i="7" s="1"/>
  <c r="I63" i="7"/>
  <c r="K63" i="7" s="1"/>
  <c r="I52" i="7"/>
  <c r="K52" i="7" s="1"/>
  <c r="K62" i="7"/>
  <c r="K345" i="7"/>
  <c r="I344" i="7"/>
  <c r="N430" i="7"/>
  <c r="L428" i="7"/>
  <c r="K521" i="7"/>
  <c r="I521" i="1"/>
  <c r="K524" i="7"/>
  <c r="I524" i="1"/>
  <c r="K292" i="8"/>
  <c r="I275" i="8"/>
  <c r="N300" i="8"/>
  <c r="L299" i="8"/>
  <c r="N447" i="8"/>
  <c r="L446" i="8"/>
  <c r="N231" i="9"/>
  <c r="L230" i="9"/>
  <c r="J391" i="9"/>
  <c r="J390" i="9" s="1"/>
  <c r="J393" i="1"/>
  <c r="I419" i="9"/>
  <c r="I419" i="1" s="1"/>
  <c r="K419" i="1" s="1"/>
  <c r="J417" i="1"/>
  <c r="I473" i="9"/>
  <c r="N114" i="10"/>
  <c r="N249" i="10"/>
  <c r="L247" i="10"/>
  <c r="I265" i="2"/>
  <c r="I265" i="3"/>
  <c r="K265" i="3" s="1"/>
  <c r="I52" i="4"/>
  <c r="K52" i="4" s="1"/>
  <c r="I63" i="4"/>
  <c r="K63" i="4" s="1"/>
  <c r="I114" i="4"/>
  <c r="K114" i="4" s="1"/>
  <c r="L187" i="4"/>
  <c r="L230" i="4"/>
  <c r="I245" i="4"/>
  <c r="L247" i="4"/>
  <c r="K263" i="4"/>
  <c r="L278" i="4"/>
  <c r="I297" i="4"/>
  <c r="K297" i="4" s="1"/>
  <c r="L299" i="4"/>
  <c r="I325" i="4"/>
  <c r="K359" i="4"/>
  <c r="I369" i="4"/>
  <c r="K369" i="4" s="1"/>
  <c r="L428" i="4"/>
  <c r="K466" i="4"/>
  <c r="L492" i="4"/>
  <c r="K506" i="4"/>
  <c r="L131" i="5"/>
  <c r="L187" i="5"/>
  <c r="L230" i="5"/>
  <c r="I245" i="5"/>
  <c r="K245" i="5" s="1"/>
  <c r="L247" i="5"/>
  <c r="K263" i="5"/>
  <c r="L278" i="5"/>
  <c r="L299" i="5"/>
  <c r="I325" i="5"/>
  <c r="K325" i="5" s="1"/>
  <c r="K359" i="5"/>
  <c r="I369" i="5"/>
  <c r="K369" i="5" s="1"/>
  <c r="L428" i="5"/>
  <c r="I444" i="5"/>
  <c r="K466" i="5"/>
  <c r="L492" i="5"/>
  <c r="K506" i="5"/>
  <c r="L131" i="6"/>
  <c r="L187" i="6"/>
  <c r="L230" i="6"/>
  <c r="I245" i="6"/>
  <c r="K245" i="6" s="1"/>
  <c r="L247" i="6"/>
  <c r="K263" i="6"/>
  <c r="L278" i="6"/>
  <c r="I297" i="6"/>
  <c r="K297" i="6" s="1"/>
  <c r="L299" i="6"/>
  <c r="I325" i="6"/>
  <c r="K325" i="6" s="1"/>
  <c r="K359" i="6"/>
  <c r="I369" i="6"/>
  <c r="K369" i="6" s="1"/>
  <c r="L428" i="6"/>
  <c r="K466" i="6"/>
  <c r="L492" i="6"/>
  <c r="K506" i="6"/>
  <c r="L131" i="7"/>
  <c r="L187" i="7"/>
  <c r="L230" i="7"/>
  <c r="I245" i="7"/>
  <c r="K245" i="7" s="1"/>
  <c r="L247" i="7"/>
  <c r="K263" i="7"/>
  <c r="L278" i="7"/>
  <c r="I297" i="7"/>
  <c r="K297" i="7" s="1"/>
  <c r="L299" i="7"/>
  <c r="I325" i="7"/>
  <c r="K325" i="7" s="1"/>
  <c r="K359" i="7"/>
  <c r="I369" i="7"/>
  <c r="K369" i="7" s="1"/>
  <c r="K466" i="7"/>
  <c r="K513" i="7"/>
  <c r="K515" i="7"/>
  <c r="N72" i="8"/>
  <c r="N77" i="8"/>
  <c r="K209" i="8"/>
  <c r="N231" i="8"/>
  <c r="L230" i="8"/>
  <c r="I270" i="8"/>
  <c r="K270" i="8" s="1"/>
  <c r="K359" i="8"/>
  <c r="I376" i="8"/>
  <c r="K376" i="8" s="1"/>
  <c r="I368" i="8"/>
  <c r="K368" i="8" s="1"/>
  <c r="N429" i="8"/>
  <c r="L428" i="8"/>
  <c r="I457" i="8"/>
  <c r="N132" i="9"/>
  <c r="L131" i="9"/>
  <c r="N188" i="9"/>
  <c r="L187" i="9"/>
  <c r="J259" i="9"/>
  <c r="J245" i="9"/>
  <c r="N279" i="9"/>
  <c r="L278" i="9"/>
  <c r="I311" i="9"/>
  <c r="K311" i="9" s="1"/>
  <c r="I297" i="9"/>
  <c r="K297" i="9" s="1"/>
  <c r="K312" i="9"/>
  <c r="I457" i="9"/>
  <c r="K457" i="9" s="1"/>
  <c r="K525" i="9"/>
  <c r="N72" i="10"/>
  <c r="N116" i="10"/>
  <c r="K271" i="10"/>
  <c r="I270" i="10"/>
  <c r="K270" i="10" s="1"/>
  <c r="K312" i="10"/>
  <c r="J311" i="10"/>
  <c r="J297" i="10" s="1"/>
  <c r="N104" i="11"/>
  <c r="L103" i="11"/>
  <c r="K138" i="11"/>
  <c r="I129" i="11"/>
  <c r="K129" i="11" s="1"/>
  <c r="N148" i="11"/>
  <c r="L146" i="11"/>
  <c r="M242" i="11"/>
  <c r="K518" i="7"/>
  <c r="K516" i="7"/>
  <c r="L9" i="8"/>
  <c r="N12" i="8"/>
  <c r="K195" i="8"/>
  <c r="I185" i="8"/>
  <c r="N248" i="8"/>
  <c r="L247" i="8"/>
  <c r="K263" i="8"/>
  <c r="I245" i="8"/>
  <c r="I265" i="8"/>
  <c r="K265" i="8" s="1"/>
  <c r="K326" i="8"/>
  <c r="I325" i="8"/>
  <c r="K325" i="8" s="1"/>
  <c r="K453" i="8"/>
  <c r="I444" i="8"/>
  <c r="K444" i="8" s="1"/>
  <c r="N477" i="8"/>
  <c r="L475" i="8"/>
  <c r="N493" i="8"/>
  <c r="L492" i="8"/>
  <c r="K149" i="9"/>
  <c r="I144" i="9"/>
  <c r="K144" i="9" s="1"/>
  <c r="N300" i="9"/>
  <c r="L299" i="9"/>
  <c r="K453" i="9"/>
  <c r="I444" i="9"/>
  <c r="K444" i="9" s="1"/>
  <c r="L9" i="10"/>
  <c r="N12" i="10"/>
  <c r="N188" i="10"/>
  <c r="L187" i="10"/>
  <c r="M242" i="10"/>
  <c r="K511" i="10"/>
  <c r="K509" i="10"/>
  <c r="K505" i="10"/>
  <c r="K510" i="10"/>
  <c r="K508" i="10"/>
  <c r="K504" i="10"/>
  <c r="K512" i="10"/>
  <c r="K506" i="10"/>
  <c r="I490" i="10"/>
  <c r="K490" i="10" s="1"/>
  <c r="K507" i="10"/>
  <c r="K126" i="11"/>
  <c r="K155" i="11"/>
  <c r="I149" i="11"/>
  <c r="I32" i="4"/>
  <c r="K32" i="4" s="1"/>
  <c r="L54" i="4"/>
  <c r="L91" i="4"/>
  <c r="L103" i="4"/>
  <c r="L116" i="4"/>
  <c r="I265" i="4"/>
  <c r="K265" i="4" s="1"/>
  <c r="I270" i="4"/>
  <c r="K270" i="4" s="1"/>
  <c r="L446" i="4"/>
  <c r="L76" i="5"/>
  <c r="I265" i="5"/>
  <c r="K265" i="5" s="1"/>
  <c r="I270" i="5"/>
  <c r="K270" i="5" s="1"/>
  <c r="L446" i="5"/>
  <c r="L76" i="6"/>
  <c r="I265" i="6"/>
  <c r="K265" i="6" s="1"/>
  <c r="I270" i="6"/>
  <c r="K270" i="6" s="1"/>
  <c r="L446" i="6"/>
  <c r="L76" i="7"/>
  <c r="I265" i="7"/>
  <c r="K265" i="7" s="1"/>
  <c r="I270" i="7"/>
  <c r="K270" i="7" s="1"/>
  <c r="L446" i="7"/>
  <c r="N493" i="7"/>
  <c r="L492" i="7"/>
  <c r="K514" i="7"/>
  <c r="K517" i="7"/>
  <c r="K23" i="8"/>
  <c r="N132" i="8"/>
  <c r="L131" i="8"/>
  <c r="N188" i="8"/>
  <c r="L187" i="8"/>
  <c r="J259" i="8"/>
  <c r="J245" i="8"/>
  <c r="J245" i="1" s="1"/>
  <c r="N279" i="8"/>
  <c r="L278" i="8"/>
  <c r="I311" i="8"/>
  <c r="K311" i="8" s="1"/>
  <c r="I297" i="8"/>
  <c r="K297" i="8" s="1"/>
  <c r="K312" i="8"/>
  <c r="N430" i="8"/>
  <c r="L9" i="9"/>
  <c r="N12" i="9"/>
  <c r="L74" i="9"/>
  <c r="N74" i="9" s="1"/>
  <c r="L89" i="9"/>
  <c r="N89" i="9" s="1"/>
  <c r="K195" i="9"/>
  <c r="I185" i="9"/>
  <c r="K185" i="9" s="1"/>
  <c r="N248" i="9"/>
  <c r="L247" i="9"/>
  <c r="K263" i="9"/>
  <c r="I245" i="9"/>
  <c r="K245" i="9" s="1"/>
  <c r="I265" i="9"/>
  <c r="K265" i="9" s="1"/>
  <c r="I275" i="9"/>
  <c r="K275" i="9" s="1"/>
  <c r="K326" i="9"/>
  <c r="I325" i="9"/>
  <c r="K325" i="9" s="1"/>
  <c r="K23" i="10"/>
  <c r="N132" i="10"/>
  <c r="L131" i="10"/>
  <c r="K245" i="10"/>
  <c r="L446" i="10"/>
  <c r="N448" i="10"/>
  <c r="M6" i="11"/>
  <c r="K44" i="11"/>
  <c r="I32" i="11"/>
  <c r="K32" i="11" s="1"/>
  <c r="N218" i="11"/>
  <c r="L216" i="11"/>
  <c r="K519" i="8"/>
  <c r="K519" i="9"/>
  <c r="I267" i="10"/>
  <c r="K267" i="10" s="1"/>
  <c r="I265" i="10"/>
  <c r="K265" i="10" s="1"/>
  <c r="K264" i="10"/>
  <c r="I344" i="10"/>
  <c r="K517" i="10"/>
  <c r="K515" i="10"/>
  <c r="K513" i="10"/>
  <c r="K514" i="10"/>
  <c r="L201" i="11"/>
  <c r="N333" i="11"/>
  <c r="L332" i="11"/>
  <c r="N353" i="11"/>
  <c r="L352" i="11"/>
  <c r="L446" i="11"/>
  <c r="N448" i="11"/>
  <c r="K511" i="11"/>
  <c r="K509" i="11"/>
  <c r="K505" i="11"/>
  <c r="K510" i="11"/>
  <c r="K508" i="11"/>
  <c r="K504" i="11"/>
  <c r="K523" i="11"/>
  <c r="N117" i="12"/>
  <c r="L116" i="12"/>
  <c r="N172" i="12"/>
  <c r="L171" i="12"/>
  <c r="N189" i="12"/>
  <c r="L187" i="12"/>
  <c r="N232" i="12"/>
  <c r="L230" i="12"/>
  <c r="K327" i="12"/>
  <c r="I325" i="12"/>
  <c r="K325" i="12" s="1"/>
  <c r="N333" i="12"/>
  <c r="L332" i="12"/>
  <c r="K291" i="13"/>
  <c r="I276" i="13"/>
  <c r="K276" i="13" s="1"/>
  <c r="M242" i="13"/>
  <c r="K440" i="13"/>
  <c r="I426" i="13"/>
  <c r="K426" i="13" s="1"/>
  <c r="N230" i="14"/>
  <c r="J228" i="14"/>
  <c r="K240" i="14"/>
  <c r="K312" i="14"/>
  <c r="I297" i="14"/>
  <c r="I311" i="14"/>
  <c r="J144" i="15"/>
  <c r="J144" i="1" s="1"/>
  <c r="M242" i="15"/>
  <c r="M144" i="16"/>
  <c r="K44" i="12"/>
  <c r="I32" i="12"/>
  <c r="K32" i="12" s="1"/>
  <c r="K155" i="12"/>
  <c r="I149" i="12"/>
  <c r="N280" i="12"/>
  <c r="L278" i="12"/>
  <c r="K345" i="12"/>
  <c r="I344" i="12"/>
  <c r="N353" i="12"/>
  <c r="L352" i="12"/>
  <c r="I444" i="12"/>
  <c r="K444" i="12" s="1"/>
  <c r="K455" i="12"/>
  <c r="L299" i="13"/>
  <c r="N300" i="13"/>
  <c r="M242" i="14"/>
  <c r="L296" i="14"/>
  <c r="N296" i="14" s="1"/>
  <c r="K484" i="14"/>
  <c r="I473" i="14"/>
  <c r="K473" i="14" s="1"/>
  <c r="J311" i="15"/>
  <c r="J297" i="15" s="1"/>
  <c r="K316" i="15"/>
  <c r="K83" i="19"/>
  <c r="I74" i="19"/>
  <c r="K74" i="19" s="1"/>
  <c r="K125" i="19"/>
  <c r="I114" i="19"/>
  <c r="K114" i="19" s="1"/>
  <c r="K263" i="10"/>
  <c r="N280" i="10"/>
  <c r="L299" i="10"/>
  <c r="K518" i="10"/>
  <c r="I63" i="11"/>
  <c r="K63" i="11" s="1"/>
  <c r="I52" i="11"/>
  <c r="K52" i="11" s="1"/>
  <c r="K62" i="11"/>
  <c r="I114" i="11"/>
  <c r="K114" i="11" s="1"/>
  <c r="K125" i="11"/>
  <c r="N172" i="11"/>
  <c r="L171" i="11"/>
  <c r="K236" i="11"/>
  <c r="K316" i="11"/>
  <c r="K345" i="11"/>
  <c r="I344" i="11"/>
  <c r="N460" i="11"/>
  <c r="L459" i="11"/>
  <c r="N476" i="11"/>
  <c r="I490" i="11"/>
  <c r="K490" i="11" s="1"/>
  <c r="K506" i="11"/>
  <c r="K512" i="11"/>
  <c r="K516" i="11"/>
  <c r="K527" i="11"/>
  <c r="K22" i="12"/>
  <c r="N32" i="12"/>
  <c r="N35" i="12"/>
  <c r="I63" i="12"/>
  <c r="K63" i="12" s="1"/>
  <c r="I52" i="12"/>
  <c r="K52" i="12" s="1"/>
  <c r="K62" i="12"/>
  <c r="N92" i="12"/>
  <c r="L91" i="12"/>
  <c r="N104" i="12"/>
  <c r="L103" i="12"/>
  <c r="N249" i="12"/>
  <c r="L247" i="12"/>
  <c r="N301" i="12"/>
  <c r="L299" i="12"/>
  <c r="K361" i="12"/>
  <c r="M475" i="12"/>
  <c r="N477" i="12"/>
  <c r="J350" i="13"/>
  <c r="K359" i="13"/>
  <c r="K484" i="13"/>
  <c r="I473" i="13"/>
  <c r="K473" i="13" s="1"/>
  <c r="I89" i="14"/>
  <c r="K89" i="14" s="1"/>
  <c r="I325" i="14"/>
  <c r="K325" i="14" s="1"/>
  <c r="K326" i="14"/>
  <c r="K506" i="7"/>
  <c r="I369" i="8"/>
  <c r="K369" i="8" s="1"/>
  <c r="K506" i="8"/>
  <c r="K516" i="8"/>
  <c r="I369" i="9"/>
  <c r="K369" i="9" s="1"/>
  <c r="K506" i="9"/>
  <c r="K516" i="9"/>
  <c r="N353" i="10"/>
  <c r="L352" i="10"/>
  <c r="I377" i="10"/>
  <c r="K377" i="10" s="1"/>
  <c r="N460" i="10"/>
  <c r="L459" i="10"/>
  <c r="N9" i="11"/>
  <c r="N55" i="11"/>
  <c r="L54" i="11"/>
  <c r="N117" i="11"/>
  <c r="L116" i="11"/>
  <c r="I262" i="11"/>
  <c r="K264" i="11"/>
  <c r="K517" i="11"/>
  <c r="K515" i="11"/>
  <c r="K513" i="11"/>
  <c r="K514" i="11"/>
  <c r="M6" i="12"/>
  <c r="N55" i="12"/>
  <c r="L54" i="12"/>
  <c r="I114" i="12"/>
  <c r="K114" i="12" s="1"/>
  <c r="K125" i="12"/>
  <c r="I262" i="12"/>
  <c r="K264" i="12"/>
  <c r="I185" i="13"/>
  <c r="K185" i="13" s="1"/>
  <c r="K195" i="13"/>
  <c r="J245" i="13"/>
  <c r="J259" i="13"/>
  <c r="I185" i="14"/>
  <c r="K185" i="14" s="1"/>
  <c r="K195" i="14"/>
  <c r="K440" i="14"/>
  <c r="I426" i="14"/>
  <c r="K426" i="14" s="1"/>
  <c r="M6" i="15"/>
  <c r="N55" i="16"/>
  <c r="L54" i="16"/>
  <c r="K98" i="18"/>
  <c r="I89" i="18"/>
  <c r="K89" i="18" s="1"/>
  <c r="I369" i="12"/>
  <c r="K369" i="12" s="1"/>
  <c r="I377" i="12"/>
  <c r="K377" i="12" s="1"/>
  <c r="K440" i="12"/>
  <c r="I426" i="12"/>
  <c r="K426" i="12" s="1"/>
  <c r="N461" i="12"/>
  <c r="K484" i="12"/>
  <c r="I473" i="12"/>
  <c r="K473" i="12" s="1"/>
  <c r="K528" i="12"/>
  <c r="N476" i="13"/>
  <c r="L475" i="13"/>
  <c r="K528" i="13"/>
  <c r="K321" i="14"/>
  <c r="N334" i="14"/>
  <c r="K350" i="14"/>
  <c r="N354" i="14"/>
  <c r="K392" i="14"/>
  <c r="N476" i="14"/>
  <c r="L475" i="14"/>
  <c r="K528" i="14"/>
  <c r="N74" i="15"/>
  <c r="N249" i="15"/>
  <c r="L247" i="15"/>
  <c r="I262" i="15"/>
  <c r="K264" i="15"/>
  <c r="N494" i="15"/>
  <c r="L492" i="15"/>
  <c r="K517" i="15"/>
  <c r="K515" i="15"/>
  <c r="K513" i="15"/>
  <c r="K514" i="15"/>
  <c r="K518" i="15"/>
  <c r="K516" i="15"/>
  <c r="K519" i="15"/>
  <c r="N104" i="16"/>
  <c r="L103" i="16"/>
  <c r="N117" i="16"/>
  <c r="L116" i="16"/>
  <c r="K209" i="16"/>
  <c r="I199" i="16"/>
  <c r="N280" i="16"/>
  <c r="M278" i="16"/>
  <c r="M275" i="16" s="1"/>
  <c r="M242" i="16" s="1"/>
  <c r="K504" i="16"/>
  <c r="J490" i="16"/>
  <c r="K506" i="12"/>
  <c r="I74" i="13"/>
  <c r="K74" i="13" s="1"/>
  <c r="I311" i="13"/>
  <c r="K311" i="13" s="1"/>
  <c r="N334" i="13"/>
  <c r="N354" i="13"/>
  <c r="J391" i="13"/>
  <c r="J390" i="13" s="1"/>
  <c r="K506" i="13"/>
  <c r="I276" i="14"/>
  <c r="K276" i="14" s="1"/>
  <c r="J311" i="14"/>
  <c r="J297" i="14" s="1"/>
  <c r="K506" i="14"/>
  <c r="K271" i="15"/>
  <c r="I270" i="15"/>
  <c r="K270" i="15" s="1"/>
  <c r="K391" i="15"/>
  <c r="J390" i="15"/>
  <c r="K155" i="16"/>
  <c r="I149" i="16"/>
  <c r="K313" i="16"/>
  <c r="I296" i="16"/>
  <c r="K296" i="16" s="1"/>
  <c r="I185" i="17"/>
  <c r="K185" i="17" s="1"/>
  <c r="K195" i="17"/>
  <c r="M242" i="17"/>
  <c r="L275" i="18"/>
  <c r="N275" i="18" s="1"/>
  <c r="I265" i="11"/>
  <c r="K265" i="11" s="1"/>
  <c r="I270" i="11"/>
  <c r="K270" i="11" s="1"/>
  <c r="L76" i="12"/>
  <c r="I265" i="12"/>
  <c r="K265" i="12" s="1"/>
  <c r="K392" i="12"/>
  <c r="N476" i="12"/>
  <c r="L475" i="12"/>
  <c r="K507" i="12"/>
  <c r="I490" i="12"/>
  <c r="K490" i="12" s="1"/>
  <c r="K510" i="12"/>
  <c r="K508" i="12"/>
  <c r="K504" i="12"/>
  <c r="K509" i="12"/>
  <c r="K512" i="12"/>
  <c r="K22" i="13"/>
  <c r="I20" i="13"/>
  <c r="L32" i="13"/>
  <c r="N32" i="13" s="1"/>
  <c r="N35" i="13"/>
  <c r="N76" i="13"/>
  <c r="I228" i="13"/>
  <c r="K228" i="13" s="1"/>
  <c r="K236" i="13"/>
  <c r="K507" i="13"/>
  <c r="I490" i="13"/>
  <c r="K490" i="13" s="1"/>
  <c r="K510" i="13"/>
  <c r="K508" i="13"/>
  <c r="K504" i="13"/>
  <c r="K509" i="13"/>
  <c r="K512" i="13"/>
  <c r="K22" i="14"/>
  <c r="I20" i="14"/>
  <c r="L32" i="14"/>
  <c r="N32" i="14" s="1"/>
  <c r="N35" i="14"/>
  <c r="N132" i="14"/>
  <c r="I228" i="14"/>
  <c r="K236" i="14"/>
  <c r="J259" i="14"/>
  <c r="I369" i="14"/>
  <c r="K369" i="14" s="1"/>
  <c r="K391" i="14"/>
  <c r="K507" i="14"/>
  <c r="I490" i="14"/>
  <c r="K490" i="14" s="1"/>
  <c r="K510" i="14"/>
  <c r="K508" i="14"/>
  <c r="K504" i="14"/>
  <c r="K509" i="14"/>
  <c r="K512" i="14"/>
  <c r="K22" i="15"/>
  <c r="I20" i="15"/>
  <c r="L32" i="15"/>
  <c r="N32" i="15" s="1"/>
  <c r="N35" i="15"/>
  <c r="N76" i="15"/>
  <c r="N132" i="15"/>
  <c r="I169" i="15"/>
  <c r="K169" i="15" s="1"/>
  <c r="N301" i="15"/>
  <c r="N332" i="15"/>
  <c r="L330" i="15"/>
  <c r="N330" i="15" s="1"/>
  <c r="N353" i="15"/>
  <c r="L352" i="15"/>
  <c r="K376" i="15"/>
  <c r="K490" i="15"/>
  <c r="K504" i="15"/>
  <c r="J490" i="15"/>
  <c r="N92" i="16"/>
  <c r="L91" i="16"/>
  <c r="I114" i="16"/>
  <c r="K114" i="16" s="1"/>
  <c r="K125" i="16"/>
  <c r="K138" i="16"/>
  <c r="I129" i="16"/>
  <c r="K359" i="16"/>
  <c r="I350" i="16"/>
  <c r="K350" i="16" s="1"/>
  <c r="I376" i="16"/>
  <c r="K376" i="16" s="1"/>
  <c r="I368" i="16"/>
  <c r="K368" i="16" s="1"/>
  <c r="J390" i="16"/>
  <c r="K390" i="16" s="1"/>
  <c r="K490" i="16"/>
  <c r="M6" i="17"/>
  <c r="L459" i="12"/>
  <c r="K514" i="12"/>
  <c r="I32" i="13"/>
  <c r="K32" i="13" s="1"/>
  <c r="L54" i="13"/>
  <c r="L91" i="13"/>
  <c r="L103" i="13"/>
  <c r="L116" i="13"/>
  <c r="I149" i="13"/>
  <c r="L171" i="13"/>
  <c r="L332" i="13"/>
  <c r="I344" i="13"/>
  <c r="L352" i="13"/>
  <c r="L459" i="13"/>
  <c r="K514" i="13"/>
  <c r="I32" i="14"/>
  <c r="K32" i="14" s="1"/>
  <c r="L54" i="14"/>
  <c r="L91" i="14"/>
  <c r="L103" i="14"/>
  <c r="L116" i="14"/>
  <c r="I149" i="14"/>
  <c r="L171" i="14"/>
  <c r="L332" i="14"/>
  <c r="I344" i="14"/>
  <c r="L352" i="14"/>
  <c r="L459" i="14"/>
  <c r="K514" i="14"/>
  <c r="I32" i="15"/>
  <c r="K32" i="15" s="1"/>
  <c r="L54" i="15"/>
  <c r="L91" i="15"/>
  <c r="L103" i="15"/>
  <c r="L116" i="15"/>
  <c r="I149" i="15"/>
  <c r="L171" i="15"/>
  <c r="I267" i="15"/>
  <c r="K267" i="15" s="1"/>
  <c r="I265" i="15"/>
  <c r="K265" i="15" s="1"/>
  <c r="K263" i="15"/>
  <c r="I245" i="15"/>
  <c r="K245" i="15" s="1"/>
  <c r="N280" i="15"/>
  <c r="K360" i="15"/>
  <c r="K271" i="16"/>
  <c r="I270" i="16"/>
  <c r="K270" i="16" s="1"/>
  <c r="N301" i="16"/>
  <c r="M299" i="16"/>
  <c r="M296" i="16" s="1"/>
  <c r="K111" i="17"/>
  <c r="I101" i="17"/>
  <c r="K101" i="17" s="1"/>
  <c r="I199" i="17"/>
  <c r="K199" i="17" s="1"/>
  <c r="K209" i="17"/>
  <c r="N334" i="17"/>
  <c r="L332" i="17"/>
  <c r="N72" i="18"/>
  <c r="N114" i="18"/>
  <c r="N429" i="19"/>
  <c r="L428" i="19"/>
  <c r="N461" i="19"/>
  <c r="L459" i="19"/>
  <c r="I368" i="13"/>
  <c r="K368" i="13" s="1"/>
  <c r="I350" i="15"/>
  <c r="K350" i="15" s="1"/>
  <c r="K359" i="15"/>
  <c r="I368" i="15"/>
  <c r="K368" i="15" s="1"/>
  <c r="K390" i="15"/>
  <c r="N430" i="15"/>
  <c r="L428" i="15"/>
  <c r="N460" i="15"/>
  <c r="L459" i="15"/>
  <c r="N32" i="16"/>
  <c r="N35" i="16"/>
  <c r="M32" i="16"/>
  <c r="M6" i="16" s="1"/>
  <c r="K44" i="16"/>
  <c r="I32" i="16"/>
  <c r="K32" i="16" s="1"/>
  <c r="K48" i="16"/>
  <c r="I33" i="16"/>
  <c r="K33" i="16" s="1"/>
  <c r="I63" i="16"/>
  <c r="K63" i="16" s="1"/>
  <c r="I52" i="16"/>
  <c r="K52" i="16" s="1"/>
  <c r="K62" i="16"/>
  <c r="K263" i="16"/>
  <c r="I245" i="16"/>
  <c r="K245" i="16" s="1"/>
  <c r="I267" i="16"/>
  <c r="K267" i="16" s="1"/>
  <c r="I265" i="16"/>
  <c r="K265" i="16" s="1"/>
  <c r="N430" i="16"/>
  <c r="L428" i="16"/>
  <c r="N460" i="16"/>
  <c r="L459" i="16"/>
  <c r="N494" i="16"/>
  <c r="L492" i="16"/>
  <c r="K517" i="16"/>
  <c r="K515" i="16"/>
  <c r="K513" i="16"/>
  <c r="K514" i="16"/>
  <c r="K518" i="16"/>
  <c r="K516" i="16"/>
  <c r="N77" i="17"/>
  <c r="L76" i="17"/>
  <c r="L73" i="17"/>
  <c r="N73" i="17" s="1"/>
  <c r="N279" i="17"/>
  <c r="L278" i="17"/>
  <c r="J473" i="18"/>
  <c r="K488" i="18"/>
  <c r="L230" i="15"/>
  <c r="L278" i="15"/>
  <c r="I297" i="15"/>
  <c r="K297" i="15" s="1"/>
  <c r="L299" i="15"/>
  <c r="I325" i="15"/>
  <c r="K325" i="15" s="1"/>
  <c r="I369" i="15"/>
  <c r="K369" i="15" s="1"/>
  <c r="K466" i="15"/>
  <c r="K506" i="15"/>
  <c r="K512" i="15"/>
  <c r="I185" i="16"/>
  <c r="K185" i="16" s="1"/>
  <c r="J245" i="16"/>
  <c r="K312" i="16"/>
  <c r="K466" i="16"/>
  <c r="K506" i="16"/>
  <c r="K512" i="16"/>
  <c r="I144" i="17"/>
  <c r="K144" i="17" s="1"/>
  <c r="K149" i="17"/>
  <c r="N171" i="17"/>
  <c r="N231" i="17"/>
  <c r="L230" i="17"/>
  <c r="I270" i="17"/>
  <c r="K270" i="17" s="1"/>
  <c r="N300" i="17"/>
  <c r="L299" i="17"/>
  <c r="K312" i="17"/>
  <c r="I311" i="17"/>
  <c r="K311" i="17" s="1"/>
  <c r="I297" i="17"/>
  <c r="K297" i="17" s="1"/>
  <c r="K326" i="17"/>
  <c r="I325" i="17"/>
  <c r="K325" i="17" s="1"/>
  <c r="K391" i="17"/>
  <c r="J390" i="17"/>
  <c r="K390" i="17" s="1"/>
  <c r="K426" i="17"/>
  <c r="N477" i="17"/>
  <c r="L475" i="17"/>
  <c r="N494" i="17"/>
  <c r="K526" i="17"/>
  <c r="K23" i="18"/>
  <c r="I21" i="18"/>
  <c r="N116" i="18"/>
  <c r="N132" i="18"/>
  <c r="L131" i="18"/>
  <c r="L146" i="18"/>
  <c r="K236" i="18"/>
  <c r="I228" i="18"/>
  <c r="K228" i="18" s="1"/>
  <c r="K312" i="18"/>
  <c r="N332" i="18"/>
  <c r="L330" i="18"/>
  <c r="N330" i="18" s="1"/>
  <c r="I350" i="18"/>
  <c r="K350" i="18" s="1"/>
  <c r="K359" i="18"/>
  <c r="I376" i="18"/>
  <c r="K376" i="18" s="1"/>
  <c r="K390" i="18"/>
  <c r="N188" i="17"/>
  <c r="L187" i="17"/>
  <c r="N248" i="17"/>
  <c r="L247" i="17"/>
  <c r="K263" i="17"/>
  <c r="I245" i="17"/>
  <c r="I265" i="17"/>
  <c r="K265" i="17" s="1"/>
  <c r="K317" i="17"/>
  <c r="I296" i="17"/>
  <c r="K296" i="17" s="1"/>
  <c r="K346" i="17"/>
  <c r="I344" i="17"/>
  <c r="N447" i="17"/>
  <c r="L446" i="17"/>
  <c r="K466" i="17"/>
  <c r="I457" i="17"/>
  <c r="K457" i="17" s="1"/>
  <c r="M6" i="18"/>
  <c r="N56" i="18"/>
  <c r="L54" i="18"/>
  <c r="K272" i="18"/>
  <c r="I270" i="18"/>
  <c r="K270" i="18" s="1"/>
  <c r="N476" i="18"/>
  <c r="L475" i="18"/>
  <c r="I20" i="19"/>
  <c r="K22" i="19"/>
  <c r="N172" i="19"/>
  <c r="L171" i="19"/>
  <c r="K317" i="20"/>
  <c r="I296" i="20"/>
  <c r="K296" i="20" s="1"/>
  <c r="K453" i="22"/>
  <c r="I444" i="22"/>
  <c r="K444" i="22" s="1"/>
  <c r="L446" i="15"/>
  <c r="K505" i="15"/>
  <c r="K509" i="15"/>
  <c r="L76" i="16"/>
  <c r="I169" i="16"/>
  <c r="K169" i="16" s="1"/>
  <c r="L187" i="16"/>
  <c r="L230" i="16"/>
  <c r="L247" i="16"/>
  <c r="L278" i="16"/>
  <c r="I297" i="16"/>
  <c r="K297" i="16" s="1"/>
  <c r="L299" i="16"/>
  <c r="I325" i="16"/>
  <c r="K325" i="16" s="1"/>
  <c r="I369" i="16"/>
  <c r="K369" i="16" s="1"/>
  <c r="L446" i="16"/>
  <c r="K505" i="16"/>
  <c r="K509" i="16"/>
  <c r="N132" i="17"/>
  <c r="L131" i="17"/>
  <c r="J245" i="17"/>
  <c r="J259" i="17"/>
  <c r="N354" i="17"/>
  <c r="L352" i="17"/>
  <c r="L201" i="18"/>
  <c r="K377" i="18"/>
  <c r="K62" i="19"/>
  <c r="I63" i="19"/>
  <c r="K63" i="19" s="1"/>
  <c r="I52" i="19"/>
  <c r="K52" i="19" s="1"/>
  <c r="M74" i="19"/>
  <c r="K291" i="19"/>
  <c r="I276" i="19"/>
  <c r="K276" i="19" s="1"/>
  <c r="K519" i="17"/>
  <c r="N460" i="18"/>
  <c r="L459" i="18"/>
  <c r="K510" i="18"/>
  <c r="K508" i="18"/>
  <c r="K504" i="18"/>
  <c r="K511" i="18"/>
  <c r="K509" i="18"/>
  <c r="K505" i="18"/>
  <c r="K523" i="18"/>
  <c r="K44" i="19"/>
  <c r="I32" i="19"/>
  <c r="K32" i="19" s="1"/>
  <c r="N92" i="19"/>
  <c r="L91" i="19"/>
  <c r="N104" i="19"/>
  <c r="L103" i="19"/>
  <c r="K155" i="19"/>
  <c r="I149" i="19"/>
  <c r="N354" i="19"/>
  <c r="M352" i="19"/>
  <c r="M350" i="19" s="1"/>
  <c r="K466" i="19"/>
  <c r="J457" i="19"/>
  <c r="N477" i="19"/>
  <c r="M475" i="19"/>
  <c r="M473" i="19" s="1"/>
  <c r="K98" i="20"/>
  <c r="I89" i="20"/>
  <c r="K89" i="20" s="1"/>
  <c r="M242" i="20"/>
  <c r="I457" i="20"/>
  <c r="K457" i="20" s="1"/>
  <c r="K466" i="20"/>
  <c r="L54" i="21"/>
  <c r="N55" i="21"/>
  <c r="N218" i="21"/>
  <c r="L216" i="21"/>
  <c r="K391" i="21"/>
  <c r="J390" i="21"/>
  <c r="M242" i="22"/>
  <c r="K359" i="17"/>
  <c r="I369" i="17"/>
  <c r="K369" i="17" s="1"/>
  <c r="K513" i="17"/>
  <c r="K515" i="17"/>
  <c r="K517" i="17"/>
  <c r="N448" i="18"/>
  <c r="L446" i="18"/>
  <c r="I490" i="18"/>
  <c r="K490" i="18" s="1"/>
  <c r="K506" i="18"/>
  <c r="K512" i="18"/>
  <c r="M6" i="19"/>
  <c r="N55" i="19"/>
  <c r="L54" i="19"/>
  <c r="N117" i="19"/>
  <c r="L116" i="19"/>
  <c r="N334" i="19"/>
  <c r="M332" i="19"/>
  <c r="M330" i="19" s="1"/>
  <c r="M242" i="19" s="1"/>
  <c r="I377" i="19"/>
  <c r="K377" i="19" s="1"/>
  <c r="K390" i="19"/>
  <c r="K453" i="19"/>
  <c r="I444" i="19"/>
  <c r="K444" i="19" s="1"/>
  <c r="K484" i="19"/>
  <c r="I473" i="19"/>
  <c r="K473" i="19" s="1"/>
  <c r="M71" i="20"/>
  <c r="M68" i="20" s="1"/>
  <c r="M6" i="20" s="1"/>
  <c r="K326" i="20"/>
  <c r="I325" i="20"/>
  <c r="K325" i="20" s="1"/>
  <c r="K510" i="20"/>
  <c r="J504" i="20"/>
  <c r="I368" i="17"/>
  <c r="K368" i="17" s="1"/>
  <c r="L428" i="17"/>
  <c r="I444" i="17"/>
  <c r="K444" i="17" s="1"/>
  <c r="L492" i="17"/>
  <c r="K506" i="17"/>
  <c r="K516" i="17"/>
  <c r="I129" i="18"/>
  <c r="I149" i="18"/>
  <c r="L171" i="18"/>
  <c r="N461" i="18"/>
  <c r="K507" i="18"/>
  <c r="K514" i="18"/>
  <c r="K517" i="18"/>
  <c r="K515" i="18"/>
  <c r="K513" i="18"/>
  <c r="K21" i="19"/>
  <c r="I10" i="19"/>
  <c r="K10" i="19" s="1"/>
  <c r="I129" i="19"/>
  <c r="K129" i="19" s="1"/>
  <c r="L201" i="19"/>
  <c r="K236" i="19"/>
  <c r="I228" i="19"/>
  <c r="K228" i="19" s="1"/>
  <c r="I297" i="19"/>
  <c r="K297" i="19" s="1"/>
  <c r="I311" i="19"/>
  <c r="K311" i="19" s="1"/>
  <c r="K391" i="19"/>
  <c r="K457" i="19"/>
  <c r="L103" i="21"/>
  <c r="N104" i="21"/>
  <c r="L73" i="21"/>
  <c r="N73" i="21" s="1"/>
  <c r="K271" i="21"/>
  <c r="I270" i="21"/>
  <c r="K270" i="21" s="1"/>
  <c r="I325" i="18"/>
  <c r="K325" i="18" s="1"/>
  <c r="I369" i="18"/>
  <c r="K369" i="18" s="1"/>
  <c r="I262" i="19"/>
  <c r="I265" i="19"/>
  <c r="K265" i="19" s="1"/>
  <c r="I270" i="19"/>
  <c r="K270" i="19" s="1"/>
  <c r="K525" i="19"/>
  <c r="N72" i="20"/>
  <c r="N77" i="20"/>
  <c r="K209" i="20"/>
  <c r="N231" i="20"/>
  <c r="L230" i="20"/>
  <c r="I270" i="20"/>
  <c r="K270" i="20" s="1"/>
  <c r="N300" i="20"/>
  <c r="L299" i="20"/>
  <c r="N430" i="20"/>
  <c r="K517" i="20"/>
  <c r="K515" i="20"/>
  <c r="K513" i="20"/>
  <c r="K518" i="20"/>
  <c r="K516" i="20"/>
  <c r="K514" i="20"/>
  <c r="K526" i="20"/>
  <c r="I32" i="21"/>
  <c r="K32" i="21" s="1"/>
  <c r="I63" i="21"/>
  <c r="K63" i="21" s="1"/>
  <c r="I52" i="21"/>
  <c r="K52" i="21" s="1"/>
  <c r="N77" i="21"/>
  <c r="L76" i="21"/>
  <c r="K125" i="21"/>
  <c r="L171" i="21"/>
  <c r="K235" i="21"/>
  <c r="M242" i="21"/>
  <c r="K264" i="21"/>
  <c r="K316" i="21"/>
  <c r="J311" i="21"/>
  <c r="N333" i="21"/>
  <c r="K527" i="21"/>
  <c r="M6" i="22"/>
  <c r="K155" i="22"/>
  <c r="I149" i="22"/>
  <c r="K466" i="22"/>
  <c r="J457" i="22"/>
  <c r="N493" i="19"/>
  <c r="L492" i="19"/>
  <c r="L9" i="20"/>
  <c r="N12" i="20"/>
  <c r="K195" i="20"/>
  <c r="I185" i="20"/>
  <c r="K185" i="20" s="1"/>
  <c r="N248" i="20"/>
  <c r="L247" i="20"/>
  <c r="K263" i="20"/>
  <c r="I245" i="20"/>
  <c r="K245" i="20" s="1"/>
  <c r="I265" i="20"/>
  <c r="K265" i="20" s="1"/>
  <c r="N279" i="20"/>
  <c r="L278" i="20"/>
  <c r="I311" i="20"/>
  <c r="K311" i="20" s="1"/>
  <c r="I297" i="20"/>
  <c r="K297" i="20" s="1"/>
  <c r="K312" i="20"/>
  <c r="N448" i="21"/>
  <c r="L446" i="21"/>
  <c r="K126" i="22"/>
  <c r="K507" i="22"/>
  <c r="I490" i="22"/>
  <c r="K490" i="22" s="1"/>
  <c r="K510" i="22"/>
  <c r="K508" i="22"/>
  <c r="K504" i="22"/>
  <c r="K505" i="22"/>
  <c r="K511" i="22"/>
  <c r="K506" i="22"/>
  <c r="K509" i="22"/>
  <c r="K512" i="22"/>
  <c r="L332" i="19"/>
  <c r="I344" i="19"/>
  <c r="L352" i="19"/>
  <c r="I426" i="19"/>
  <c r="K426" i="19" s="1"/>
  <c r="L475" i="19"/>
  <c r="K23" i="20"/>
  <c r="N132" i="20"/>
  <c r="L131" i="20"/>
  <c r="N188" i="20"/>
  <c r="L187" i="20"/>
  <c r="J259" i="20"/>
  <c r="J245" i="20"/>
  <c r="N301" i="20"/>
  <c r="K359" i="20"/>
  <c r="I376" i="20"/>
  <c r="K376" i="20" s="1"/>
  <c r="I368" i="20"/>
  <c r="K368" i="20" s="1"/>
  <c r="N447" i="20"/>
  <c r="L446" i="20"/>
  <c r="K519" i="20"/>
  <c r="M6" i="21"/>
  <c r="I21" i="21"/>
  <c r="L114" i="21"/>
  <c r="N114" i="21" s="1"/>
  <c r="K313" i="21"/>
  <c r="I296" i="21"/>
  <c r="K296" i="21" s="1"/>
  <c r="K376" i="21"/>
  <c r="K514" i="21"/>
  <c r="K517" i="21"/>
  <c r="K515" i="21"/>
  <c r="K513" i="21"/>
  <c r="K518" i="21"/>
  <c r="K83" i="22"/>
  <c r="K236" i="22"/>
  <c r="I228" i="22"/>
  <c r="K228" i="22" s="1"/>
  <c r="K507" i="19"/>
  <c r="K519" i="19"/>
  <c r="L428" i="20"/>
  <c r="L492" i="20"/>
  <c r="K506" i="20"/>
  <c r="L131" i="21"/>
  <c r="N187" i="21"/>
  <c r="N189" i="21"/>
  <c r="K238" i="21"/>
  <c r="N249" i="21"/>
  <c r="L247" i="21"/>
  <c r="N280" i="21"/>
  <c r="L278" i="21"/>
  <c r="K360" i="21"/>
  <c r="I21" i="22"/>
  <c r="K44" i="22"/>
  <c r="K48" i="22"/>
  <c r="N92" i="22"/>
  <c r="L91" i="22"/>
  <c r="K138" i="22"/>
  <c r="I129" i="22"/>
  <c r="K129" i="22" s="1"/>
  <c r="L146" i="22"/>
  <c r="L216" i="22"/>
  <c r="K316" i="22"/>
  <c r="I297" i="22"/>
  <c r="K297" i="22" s="1"/>
  <c r="I311" i="22"/>
  <c r="K311" i="22" s="1"/>
  <c r="N353" i="22"/>
  <c r="L352" i="22"/>
  <c r="K361" i="22"/>
  <c r="I369" i="22"/>
  <c r="K369" i="22" s="1"/>
  <c r="K506" i="19"/>
  <c r="K516" i="19"/>
  <c r="I369" i="20"/>
  <c r="K369" i="20" s="1"/>
  <c r="I267" i="21"/>
  <c r="K267" i="21" s="1"/>
  <c r="I265" i="21"/>
  <c r="K265" i="21" s="1"/>
  <c r="K263" i="21"/>
  <c r="I245" i="21"/>
  <c r="K245" i="21" s="1"/>
  <c r="I350" i="21"/>
  <c r="K350" i="21" s="1"/>
  <c r="K359" i="21"/>
  <c r="I368" i="21"/>
  <c r="K368" i="21" s="1"/>
  <c r="K390" i="21"/>
  <c r="N460" i="21"/>
  <c r="L459" i="21"/>
  <c r="K510" i="21"/>
  <c r="K508" i="21"/>
  <c r="K504" i="21"/>
  <c r="K511" i="21"/>
  <c r="K509" i="21"/>
  <c r="K505" i="21"/>
  <c r="N104" i="22"/>
  <c r="L103" i="22"/>
  <c r="K125" i="22"/>
  <c r="I114" i="22"/>
  <c r="K114" i="22" s="1"/>
  <c r="N172" i="22"/>
  <c r="L171" i="22"/>
  <c r="N333" i="22"/>
  <c r="L332" i="22"/>
  <c r="N429" i="22"/>
  <c r="L428" i="22"/>
  <c r="N476" i="22"/>
  <c r="L475" i="22"/>
  <c r="L230" i="21"/>
  <c r="L299" i="21"/>
  <c r="I325" i="21"/>
  <c r="K325" i="21" s="1"/>
  <c r="I369" i="21"/>
  <c r="K369" i="21" s="1"/>
  <c r="I63" i="22"/>
  <c r="K63" i="22" s="1"/>
  <c r="I52" i="22"/>
  <c r="K52" i="22" s="1"/>
  <c r="N77" i="22"/>
  <c r="L76" i="22"/>
  <c r="K345" i="22"/>
  <c r="I344" i="22"/>
  <c r="K524" i="22"/>
  <c r="N117" i="22"/>
  <c r="L116" i="22"/>
  <c r="K245" i="22"/>
  <c r="K264" i="22"/>
  <c r="I262" i="22"/>
  <c r="K440" i="22"/>
  <c r="I426" i="22"/>
  <c r="K426" i="22" s="1"/>
  <c r="K457" i="22"/>
  <c r="N461" i="22"/>
  <c r="K484" i="22"/>
  <c r="I473" i="22"/>
  <c r="K473" i="22" s="1"/>
  <c r="I265" i="22"/>
  <c r="K265" i="22" s="1"/>
  <c r="I270" i="22"/>
  <c r="K270" i="22" s="1"/>
  <c r="L459" i="22"/>
  <c r="K514" i="22"/>
  <c r="N278" i="19" l="1"/>
  <c r="N144" i="16"/>
  <c r="I9" i="9"/>
  <c r="K9" i="9" s="1"/>
  <c r="L185" i="22"/>
  <c r="N185" i="22" s="1"/>
  <c r="L214" i="18"/>
  <c r="N214" i="18" s="1"/>
  <c r="I9" i="11"/>
  <c r="K9" i="11" s="1"/>
  <c r="L350" i="8"/>
  <c r="N350" i="8" s="1"/>
  <c r="L185" i="3"/>
  <c r="N185" i="3" s="1"/>
  <c r="L214" i="12"/>
  <c r="N214" i="12" s="1"/>
  <c r="L89" i="21"/>
  <c r="N89" i="21" s="1"/>
  <c r="N332" i="20"/>
  <c r="I244" i="13"/>
  <c r="K244" i="13" s="1"/>
  <c r="I244" i="9"/>
  <c r="K244" i="9" s="1"/>
  <c r="N187" i="2"/>
  <c r="N230" i="13"/>
  <c r="I144" i="10"/>
  <c r="K144" i="10" s="1"/>
  <c r="N146" i="19"/>
  <c r="L426" i="12"/>
  <c r="N426" i="12" s="1"/>
  <c r="I68" i="8"/>
  <c r="K68" i="8" s="1"/>
  <c r="K129" i="7"/>
  <c r="L199" i="3"/>
  <c r="N199" i="3" s="1"/>
  <c r="L244" i="13"/>
  <c r="N244" i="13" s="1"/>
  <c r="N492" i="11"/>
  <c r="K21" i="5"/>
  <c r="N461" i="1"/>
  <c r="I244" i="20"/>
  <c r="K244" i="20" s="1"/>
  <c r="L199" i="7"/>
  <c r="N199" i="7" s="1"/>
  <c r="N428" i="13"/>
  <c r="L52" i="8"/>
  <c r="N52" i="8" s="1"/>
  <c r="L101" i="8"/>
  <c r="N101" i="8" s="1"/>
  <c r="N247" i="14"/>
  <c r="L144" i="15"/>
  <c r="N144" i="15" s="1"/>
  <c r="L71" i="5"/>
  <c r="L68" i="5" s="1"/>
  <c r="N68" i="5" s="1"/>
  <c r="L52" i="17"/>
  <c r="N52" i="17" s="1"/>
  <c r="L144" i="14"/>
  <c r="N144" i="14" s="1"/>
  <c r="L169" i="20"/>
  <c r="N169" i="20" s="1"/>
  <c r="N247" i="18"/>
  <c r="K482" i="1"/>
  <c r="L228" i="3"/>
  <c r="N228" i="3" s="1"/>
  <c r="K20" i="10"/>
  <c r="N103" i="20"/>
  <c r="I330" i="15"/>
  <c r="K330" i="15" s="1"/>
  <c r="N201" i="13"/>
  <c r="L490" i="10"/>
  <c r="N490" i="10" s="1"/>
  <c r="K522" i="1"/>
  <c r="K521" i="1"/>
  <c r="N354" i="1"/>
  <c r="L71" i="8"/>
  <c r="L68" i="8" s="1"/>
  <c r="N68" i="8" s="1"/>
  <c r="L52" i="22"/>
  <c r="N52" i="22" s="1"/>
  <c r="L350" i="21"/>
  <c r="N350" i="21" s="1"/>
  <c r="I330" i="21"/>
  <c r="K330" i="21" s="1"/>
  <c r="L228" i="22"/>
  <c r="N228" i="22" s="1"/>
  <c r="L74" i="18"/>
  <c r="N74" i="18" s="1"/>
  <c r="L144" i="13"/>
  <c r="N144" i="13" s="1"/>
  <c r="N278" i="11"/>
  <c r="I244" i="8"/>
  <c r="K244" i="8" s="1"/>
  <c r="N459" i="9"/>
  <c r="K359" i="1"/>
  <c r="N146" i="6"/>
  <c r="N428" i="18"/>
  <c r="I144" i="8"/>
  <c r="K144" i="8" s="1"/>
  <c r="L490" i="22"/>
  <c r="N490" i="22" s="1"/>
  <c r="I10" i="11"/>
  <c r="K10" i="11" s="1"/>
  <c r="L330" i="9"/>
  <c r="N330" i="9" s="1"/>
  <c r="L444" i="12"/>
  <c r="N444" i="12" s="1"/>
  <c r="L473" i="16"/>
  <c r="N473" i="16" s="1"/>
  <c r="I68" i="12"/>
  <c r="K68" i="12" s="1"/>
  <c r="L228" i="11"/>
  <c r="N228" i="11" s="1"/>
  <c r="N201" i="2"/>
  <c r="N230" i="2"/>
  <c r="L199" i="22"/>
  <c r="N199" i="22" s="1"/>
  <c r="L129" i="19"/>
  <c r="N129" i="19" s="1"/>
  <c r="I144" i="20"/>
  <c r="K144" i="20" s="1"/>
  <c r="N91" i="20"/>
  <c r="L296" i="18"/>
  <c r="N296" i="18" s="1"/>
  <c r="L444" i="14"/>
  <c r="N444" i="14" s="1"/>
  <c r="N278" i="10"/>
  <c r="K524" i="1"/>
  <c r="L71" i="22"/>
  <c r="L214" i="14"/>
  <c r="N214" i="14" s="1"/>
  <c r="L114" i="17"/>
  <c r="N114" i="17" s="1"/>
  <c r="N187" i="19"/>
  <c r="K344" i="18"/>
  <c r="N76" i="14"/>
  <c r="N131" i="11"/>
  <c r="L89" i="10"/>
  <c r="N89" i="10" s="1"/>
  <c r="L199" i="20"/>
  <c r="N199" i="20" s="1"/>
  <c r="L214" i="8"/>
  <c r="N214" i="8" s="1"/>
  <c r="L275" i="14"/>
  <c r="N275" i="14" s="1"/>
  <c r="I330" i="20"/>
  <c r="K330" i="20" s="1"/>
  <c r="L185" i="18"/>
  <c r="N185" i="18" s="1"/>
  <c r="N116" i="8"/>
  <c r="K523" i="1"/>
  <c r="K238" i="1"/>
  <c r="I9" i="3"/>
  <c r="K9" i="3" s="1"/>
  <c r="L275" i="13"/>
  <c r="N275" i="13" s="1"/>
  <c r="L71" i="6"/>
  <c r="L68" i="6" s="1"/>
  <c r="N68" i="6" s="1"/>
  <c r="I10" i="4"/>
  <c r="K10" i="4" s="1"/>
  <c r="N171" i="16"/>
  <c r="N73" i="2"/>
  <c r="L71" i="15"/>
  <c r="N71" i="15" s="1"/>
  <c r="I68" i="3"/>
  <c r="K68" i="3" s="1"/>
  <c r="L101" i="9"/>
  <c r="N101" i="9" s="1"/>
  <c r="I9" i="8"/>
  <c r="K9" i="8" s="1"/>
  <c r="N494" i="1"/>
  <c r="I10" i="3"/>
  <c r="K10" i="3" s="1"/>
  <c r="L457" i="17"/>
  <c r="N457" i="17" s="1"/>
  <c r="I10" i="10"/>
  <c r="K10" i="10" s="1"/>
  <c r="I9" i="20"/>
  <c r="K9" i="20" s="1"/>
  <c r="L214" i="9"/>
  <c r="N214" i="9" s="1"/>
  <c r="K527" i="1"/>
  <c r="L144" i="9"/>
  <c r="N144" i="9" s="1"/>
  <c r="K262" i="18"/>
  <c r="L214" i="7"/>
  <c r="N214" i="7" s="1"/>
  <c r="L89" i="18"/>
  <c r="N89" i="18" s="1"/>
  <c r="I10" i="17"/>
  <c r="K10" i="17" s="1"/>
  <c r="N131" i="12"/>
  <c r="N299" i="11"/>
  <c r="N428" i="10"/>
  <c r="N459" i="8"/>
  <c r="N116" i="9"/>
  <c r="L473" i="5"/>
  <c r="N473" i="5" s="1"/>
  <c r="L490" i="14"/>
  <c r="N490" i="14" s="1"/>
  <c r="L473" i="20"/>
  <c r="N473" i="20" s="1"/>
  <c r="I10" i="12"/>
  <c r="K10" i="12" s="1"/>
  <c r="J228" i="1"/>
  <c r="N299" i="2"/>
  <c r="N247" i="2"/>
  <c r="L214" i="16"/>
  <c r="N214" i="16" s="1"/>
  <c r="L473" i="15"/>
  <c r="N473" i="15" s="1"/>
  <c r="L330" i="21"/>
  <c r="N330" i="21" s="1"/>
  <c r="L228" i="18"/>
  <c r="N228" i="18" s="1"/>
  <c r="L296" i="19"/>
  <c r="N296" i="19" s="1"/>
  <c r="L244" i="19"/>
  <c r="N244" i="19" s="1"/>
  <c r="K21" i="16"/>
  <c r="L185" i="15"/>
  <c r="N185" i="15" s="1"/>
  <c r="L330" i="10"/>
  <c r="N330" i="10" s="1"/>
  <c r="K490" i="4"/>
  <c r="K21" i="7"/>
  <c r="L129" i="4"/>
  <c r="N129" i="4" s="1"/>
  <c r="L426" i="21"/>
  <c r="N426" i="21" s="1"/>
  <c r="K262" i="14"/>
  <c r="N116" i="20"/>
  <c r="N428" i="2"/>
  <c r="N332" i="8"/>
  <c r="K526" i="1"/>
  <c r="K525" i="1"/>
  <c r="K262" i="10"/>
  <c r="N216" i="13"/>
  <c r="L214" i="13"/>
  <c r="N214" i="13" s="1"/>
  <c r="L490" i="18"/>
  <c r="N490" i="18" s="1"/>
  <c r="I9" i="18"/>
  <c r="K9" i="18" s="1"/>
  <c r="K228" i="14"/>
  <c r="K344" i="9"/>
  <c r="L74" i="10"/>
  <c r="N74" i="10" s="1"/>
  <c r="N73" i="10"/>
  <c r="K312" i="1"/>
  <c r="N201" i="5"/>
  <c r="L101" i="17"/>
  <c r="N101" i="17" s="1"/>
  <c r="N103" i="17"/>
  <c r="N201" i="16"/>
  <c r="L199" i="16"/>
  <c r="N199" i="16" s="1"/>
  <c r="L74" i="20"/>
  <c r="N74" i="20" s="1"/>
  <c r="L52" i="10"/>
  <c r="N52" i="10" s="1"/>
  <c r="K484" i="1"/>
  <c r="L52" i="20"/>
  <c r="N52" i="20" s="1"/>
  <c r="L71" i="20"/>
  <c r="N71" i="20" s="1"/>
  <c r="I68" i="21"/>
  <c r="K68" i="21" s="1"/>
  <c r="N74" i="19"/>
  <c r="I330" i="16"/>
  <c r="K330" i="16" s="1"/>
  <c r="L426" i="14"/>
  <c r="N426" i="14" s="1"/>
  <c r="L71" i="9"/>
  <c r="L68" i="9" s="1"/>
  <c r="N68" i="9" s="1"/>
  <c r="I10" i="6"/>
  <c r="K10" i="6" s="1"/>
  <c r="L275" i="2"/>
  <c r="N275" i="2" s="1"/>
  <c r="N146" i="20"/>
  <c r="L144" i="20"/>
  <c r="N144" i="20" s="1"/>
  <c r="L71" i="16"/>
  <c r="N71" i="16" s="1"/>
  <c r="N428" i="11"/>
  <c r="L214" i="15"/>
  <c r="N214" i="15" s="1"/>
  <c r="K316" i="1"/>
  <c r="K486" i="1"/>
  <c r="I10" i="2"/>
  <c r="K10" i="2" s="1"/>
  <c r="L169" i="10"/>
  <c r="N169" i="10" s="1"/>
  <c r="N201" i="21"/>
  <c r="L199" i="21"/>
  <c r="N199" i="21" s="1"/>
  <c r="N201" i="14"/>
  <c r="K297" i="10"/>
  <c r="N144" i="6"/>
  <c r="I68" i="10"/>
  <c r="K68" i="10" s="1"/>
  <c r="N475" i="7"/>
  <c r="L144" i="8"/>
  <c r="N144" i="8" s="1"/>
  <c r="L244" i="3"/>
  <c r="N244" i="3" s="1"/>
  <c r="N216" i="20"/>
  <c r="L214" i="20"/>
  <c r="N214" i="20" s="1"/>
  <c r="L457" i="20"/>
  <c r="N457" i="20" s="1"/>
  <c r="I10" i="20"/>
  <c r="K10" i="20" s="1"/>
  <c r="L228" i="19"/>
  <c r="N228" i="19" s="1"/>
  <c r="L350" i="20"/>
  <c r="N350" i="20" s="1"/>
  <c r="L71" i="18"/>
  <c r="N71" i="18" s="1"/>
  <c r="L444" i="13"/>
  <c r="N444" i="13" s="1"/>
  <c r="N146" i="16"/>
  <c r="I9" i="12"/>
  <c r="K9" i="12" s="1"/>
  <c r="L473" i="11"/>
  <c r="N473" i="11" s="1"/>
  <c r="L101" i="10"/>
  <c r="N101" i="10" s="1"/>
  <c r="L169" i="8"/>
  <c r="N169" i="8" s="1"/>
  <c r="L89" i="8"/>
  <c r="N89" i="8" s="1"/>
  <c r="L426" i="3"/>
  <c r="N426" i="3" s="1"/>
  <c r="N492" i="2"/>
  <c r="K510" i="1"/>
  <c r="L71" i="19"/>
  <c r="I68" i="13"/>
  <c r="K68" i="13" s="1"/>
  <c r="L71" i="12"/>
  <c r="K488" i="1"/>
  <c r="N131" i="22"/>
  <c r="L129" i="22"/>
  <c r="N129" i="22" s="1"/>
  <c r="N247" i="11"/>
  <c r="L244" i="11"/>
  <c r="N244" i="11" s="1"/>
  <c r="L490" i="21"/>
  <c r="N490" i="21" s="1"/>
  <c r="L169" i="9"/>
  <c r="N169" i="9" s="1"/>
  <c r="K344" i="8"/>
  <c r="I10" i="8"/>
  <c r="K10" i="8" s="1"/>
  <c r="L71" i="7"/>
  <c r="L68" i="7" s="1"/>
  <c r="N68" i="7" s="1"/>
  <c r="K506" i="1"/>
  <c r="L473" i="4"/>
  <c r="N473" i="4" s="1"/>
  <c r="N492" i="3"/>
  <c r="K512" i="1"/>
  <c r="K235" i="1"/>
  <c r="N146" i="4"/>
  <c r="N146" i="21"/>
  <c r="K240" i="1"/>
  <c r="N247" i="22"/>
  <c r="L244" i="22"/>
  <c r="N244" i="22" s="1"/>
  <c r="K262" i="17"/>
  <c r="I244" i="17"/>
  <c r="K244" i="17" s="1"/>
  <c r="N76" i="19"/>
  <c r="N201" i="8"/>
  <c r="L199" i="8"/>
  <c r="N199" i="8" s="1"/>
  <c r="I10" i="9"/>
  <c r="K10" i="9" s="1"/>
  <c r="K21" i="9"/>
  <c r="L71" i="21"/>
  <c r="L68" i="21" s="1"/>
  <c r="N68" i="21" s="1"/>
  <c r="K129" i="20"/>
  <c r="I68" i="20"/>
  <c r="K68" i="20" s="1"/>
  <c r="K262" i="16"/>
  <c r="I244" i="16"/>
  <c r="K244" i="16" s="1"/>
  <c r="K21" i="14"/>
  <c r="I10" i="14"/>
  <c r="K10" i="14" s="1"/>
  <c r="N131" i="16"/>
  <c r="L129" i="16"/>
  <c r="N129" i="16" s="1"/>
  <c r="N201" i="9"/>
  <c r="L199" i="9"/>
  <c r="N199" i="9" s="1"/>
  <c r="N201" i="6"/>
  <c r="L199" i="6"/>
  <c r="N199" i="6" s="1"/>
  <c r="N475" i="3"/>
  <c r="L473" i="3"/>
  <c r="N473" i="3" s="1"/>
  <c r="K20" i="7"/>
  <c r="I9" i="7"/>
  <c r="K9" i="7" s="1"/>
  <c r="K236" i="1"/>
  <c r="N299" i="22"/>
  <c r="L296" i="22"/>
  <c r="N296" i="22" s="1"/>
  <c r="N103" i="18"/>
  <c r="L101" i="18"/>
  <c r="N101" i="18" s="1"/>
  <c r="L228" i="10"/>
  <c r="N228" i="10" s="1"/>
  <c r="N230" i="10"/>
  <c r="N446" i="19"/>
  <c r="L444" i="19"/>
  <c r="N444" i="19" s="1"/>
  <c r="K20" i="17"/>
  <c r="I9" i="17"/>
  <c r="K9" i="17" s="1"/>
  <c r="N131" i="15"/>
  <c r="L129" i="15"/>
  <c r="N129" i="15" s="1"/>
  <c r="N131" i="13"/>
  <c r="L129" i="13"/>
  <c r="N129" i="13" s="1"/>
  <c r="N76" i="11"/>
  <c r="L74" i="11"/>
  <c r="N74" i="11" s="1"/>
  <c r="N475" i="21"/>
  <c r="L473" i="21"/>
  <c r="N473" i="21" s="1"/>
  <c r="K21" i="13"/>
  <c r="I10" i="13"/>
  <c r="K10" i="13" s="1"/>
  <c r="N332" i="16"/>
  <c r="L330" i="16"/>
  <c r="N330" i="16" s="1"/>
  <c r="K20" i="16"/>
  <c r="I9" i="16"/>
  <c r="K9" i="16" s="1"/>
  <c r="N278" i="3"/>
  <c r="L275" i="3"/>
  <c r="N275" i="3" s="1"/>
  <c r="K20" i="6"/>
  <c r="I9" i="6"/>
  <c r="K9" i="6" s="1"/>
  <c r="K129" i="15"/>
  <c r="I68" i="15"/>
  <c r="K68" i="15" s="1"/>
  <c r="N73" i="4"/>
  <c r="L71" i="4"/>
  <c r="L74" i="3"/>
  <c r="N74" i="3" s="1"/>
  <c r="N76" i="3"/>
  <c r="L187" i="1"/>
  <c r="N187" i="1" s="1"/>
  <c r="K20" i="21"/>
  <c r="I9" i="21"/>
  <c r="K9" i="21" s="1"/>
  <c r="K262" i="21"/>
  <c r="I244" i="21"/>
  <c r="K244" i="21" s="1"/>
  <c r="N73" i="14"/>
  <c r="L71" i="14"/>
  <c r="N216" i="10"/>
  <c r="L214" i="10"/>
  <c r="N214" i="10" s="1"/>
  <c r="K20" i="22"/>
  <c r="I9" i="22"/>
  <c r="K9" i="22" s="1"/>
  <c r="K149" i="21"/>
  <c r="I144" i="21"/>
  <c r="K144" i="21" s="1"/>
  <c r="N216" i="19"/>
  <c r="L214" i="19"/>
  <c r="N214" i="19" s="1"/>
  <c r="N201" i="10"/>
  <c r="L199" i="10"/>
  <c r="N199" i="10" s="1"/>
  <c r="N91" i="17"/>
  <c r="L89" i="17"/>
  <c r="N89" i="17" s="1"/>
  <c r="L71" i="13"/>
  <c r="N146" i="7"/>
  <c r="N146" i="10"/>
  <c r="L144" i="10"/>
  <c r="N144" i="10" s="1"/>
  <c r="K20" i="5"/>
  <c r="I9" i="5"/>
  <c r="K9" i="5" s="1"/>
  <c r="N76" i="2"/>
  <c r="N475" i="6"/>
  <c r="L473" i="6"/>
  <c r="N473" i="6" s="1"/>
  <c r="N352" i="9"/>
  <c r="L350" i="9"/>
  <c r="N350" i="9" s="1"/>
  <c r="K20" i="2"/>
  <c r="I9" i="2"/>
  <c r="K9" i="2" s="1"/>
  <c r="L71" i="17"/>
  <c r="L68" i="17" s="1"/>
  <c r="I68" i="11"/>
  <c r="K68" i="11" s="1"/>
  <c r="L73" i="1"/>
  <c r="N73" i="1" s="1"/>
  <c r="N352" i="18"/>
  <c r="L350" i="18"/>
  <c r="N350" i="18" s="1"/>
  <c r="I68" i="14"/>
  <c r="K68" i="14" s="1"/>
  <c r="K129" i="14"/>
  <c r="N278" i="22"/>
  <c r="L275" i="22"/>
  <c r="N275" i="22" s="1"/>
  <c r="N352" i="16"/>
  <c r="L350" i="16"/>
  <c r="N350" i="16" s="1"/>
  <c r="N201" i="17"/>
  <c r="L199" i="17"/>
  <c r="N199" i="17" s="1"/>
  <c r="K21" i="15"/>
  <c r="I10" i="15"/>
  <c r="K10" i="15" s="1"/>
  <c r="N187" i="14"/>
  <c r="L185" i="14"/>
  <c r="N185" i="14" s="1"/>
  <c r="N492" i="13"/>
  <c r="L490" i="13"/>
  <c r="N490" i="13" s="1"/>
  <c r="N146" i="17"/>
  <c r="L144" i="17"/>
  <c r="N144" i="17" s="1"/>
  <c r="N187" i="13"/>
  <c r="L185" i="13"/>
  <c r="N185" i="13" s="1"/>
  <c r="N492" i="12"/>
  <c r="L490" i="12"/>
  <c r="N490" i="12" s="1"/>
  <c r="N146" i="12"/>
  <c r="L144" i="12"/>
  <c r="N144" i="12" s="1"/>
  <c r="N187" i="11"/>
  <c r="L185" i="11"/>
  <c r="N185" i="11" s="1"/>
  <c r="N299" i="3"/>
  <c r="L296" i="3"/>
  <c r="N296" i="3" s="1"/>
  <c r="N54" i="9"/>
  <c r="L52" i="9"/>
  <c r="N52" i="9" s="1"/>
  <c r="N446" i="22"/>
  <c r="L444" i="22"/>
  <c r="N444" i="22" s="1"/>
  <c r="N475" i="10"/>
  <c r="L473" i="10"/>
  <c r="N473" i="10" s="1"/>
  <c r="K214" i="4"/>
  <c r="I214" i="1"/>
  <c r="K214" i="1" s="1"/>
  <c r="N475" i="2"/>
  <c r="L473" i="2"/>
  <c r="N473" i="2" s="1"/>
  <c r="L114" i="22"/>
  <c r="N114" i="22" s="1"/>
  <c r="N116" i="22"/>
  <c r="L228" i="21"/>
  <c r="N228" i="21" s="1"/>
  <c r="N230" i="21"/>
  <c r="N278" i="21"/>
  <c r="L275" i="21"/>
  <c r="N275" i="21" s="1"/>
  <c r="L185" i="20"/>
  <c r="N185" i="20" s="1"/>
  <c r="N187" i="20"/>
  <c r="L350" i="19"/>
  <c r="N350" i="19" s="1"/>
  <c r="N352" i="19"/>
  <c r="N9" i="20"/>
  <c r="L74" i="21"/>
  <c r="N74" i="21" s="1"/>
  <c r="N76" i="21"/>
  <c r="L228" i="20"/>
  <c r="N228" i="20" s="1"/>
  <c r="N230" i="20"/>
  <c r="N103" i="21"/>
  <c r="L101" i="21"/>
  <c r="N101" i="21" s="1"/>
  <c r="I144" i="18"/>
  <c r="K144" i="18" s="1"/>
  <c r="K149" i="18"/>
  <c r="L490" i="17"/>
  <c r="N490" i="17" s="1"/>
  <c r="N492" i="17"/>
  <c r="N216" i="21"/>
  <c r="L214" i="21"/>
  <c r="N214" i="21" s="1"/>
  <c r="L101" i="19"/>
  <c r="N101" i="19" s="1"/>
  <c r="N103" i="19"/>
  <c r="L444" i="16"/>
  <c r="N444" i="16" s="1"/>
  <c r="N446" i="16"/>
  <c r="L185" i="16"/>
  <c r="N185" i="16" s="1"/>
  <c r="N187" i="16"/>
  <c r="K20" i="19"/>
  <c r="I9" i="19"/>
  <c r="K9" i="19" s="1"/>
  <c r="L244" i="17"/>
  <c r="N247" i="17"/>
  <c r="L296" i="17"/>
  <c r="N296" i="17" s="1"/>
  <c r="N299" i="17"/>
  <c r="L457" i="16"/>
  <c r="N457" i="16" s="1"/>
  <c r="N459" i="16"/>
  <c r="N459" i="19"/>
  <c r="L457" i="19"/>
  <c r="N457" i="19" s="1"/>
  <c r="L169" i="15"/>
  <c r="N169" i="15" s="1"/>
  <c r="N171" i="15"/>
  <c r="L89" i="15"/>
  <c r="N89" i="15" s="1"/>
  <c r="N91" i="15"/>
  <c r="L457" i="14"/>
  <c r="N457" i="14" s="1"/>
  <c r="N459" i="14"/>
  <c r="L169" i="14"/>
  <c r="N169" i="14" s="1"/>
  <c r="N171" i="14"/>
  <c r="L89" i="14"/>
  <c r="N89" i="14" s="1"/>
  <c r="N91" i="14"/>
  <c r="L457" i="13"/>
  <c r="N457" i="13" s="1"/>
  <c r="N459" i="13"/>
  <c r="L169" i="13"/>
  <c r="N169" i="13" s="1"/>
  <c r="N171" i="13"/>
  <c r="L89" i="13"/>
  <c r="N89" i="13" s="1"/>
  <c r="N91" i="13"/>
  <c r="L457" i="12"/>
  <c r="N457" i="12" s="1"/>
  <c r="N459" i="12"/>
  <c r="L473" i="12"/>
  <c r="N475" i="12"/>
  <c r="L74" i="12"/>
  <c r="N74" i="12" s="1"/>
  <c r="N76" i="12"/>
  <c r="L114" i="11"/>
  <c r="N114" i="11" s="1"/>
  <c r="N116" i="11"/>
  <c r="L101" i="12"/>
  <c r="N101" i="12" s="1"/>
  <c r="N103" i="12"/>
  <c r="L457" i="11"/>
  <c r="N457" i="11" s="1"/>
  <c r="N459" i="11"/>
  <c r="L169" i="11"/>
  <c r="N169" i="11" s="1"/>
  <c r="N171" i="11"/>
  <c r="N299" i="10"/>
  <c r="L296" i="10"/>
  <c r="N296" i="10" s="1"/>
  <c r="L296" i="13"/>
  <c r="N296" i="13" s="1"/>
  <c r="N299" i="13"/>
  <c r="K311" i="14"/>
  <c r="N187" i="12"/>
  <c r="L185" i="12"/>
  <c r="N185" i="12" s="1"/>
  <c r="L330" i="11"/>
  <c r="N332" i="11"/>
  <c r="N216" i="11"/>
  <c r="L214" i="11"/>
  <c r="N214" i="11" s="1"/>
  <c r="J259" i="1"/>
  <c r="L129" i="8"/>
  <c r="N129" i="8" s="1"/>
  <c r="N131" i="8"/>
  <c r="L444" i="7"/>
  <c r="N444" i="7" s="1"/>
  <c r="N446" i="7"/>
  <c r="L444" i="6"/>
  <c r="N444" i="6" s="1"/>
  <c r="N446" i="6"/>
  <c r="L444" i="5"/>
  <c r="N444" i="5" s="1"/>
  <c r="N446" i="5"/>
  <c r="L444" i="4"/>
  <c r="N444" i="4" s="1"/>
  <c r="N446" i="4"/>
  <c r="L101" i="4"/>
  <c r="N101" i="4" s="1"/>
  <c r="N103" i="4"/>
  <c r="L473" i="8"/>
  <c r="N473" i="8" s="1"/>
  <c r="N475" i="8"/>
  <c r="N146" i="11"/>
  <c r="L144" i="11"/>
  <c r="N144" i="11" s="1"/>
  <c r="N187" i="7"/>
  <c r="L185" i="7"/>
  <c r="N185" i="7" s="1"/>
  <c r="N492" i="6"/>
  <c r="L490" i="6"/>
  <c r="N490" i="6" s="1"/>
  <c r="N278" i="6"/>
  <c r="L275" i="6"/>
  <c r="N275" i="6" s="1"/>
  <c r="N230" i="6"/>
  <c r="L228" i="6"/>
  <c r="N228" i="6" s="1"/>
  <c r="N428" i="5"/>
  <c r="L426" i="5"/>
  <c r="N426" i="5" s="1"/>
  <c r="N299" i="5"/>
  <c r="L296" i="5"/>
  <c r="N296" i="5" s="1"/>
  <c r="N428" i="4"/>
  <c r="L426" i="4"/>
  <c r="N426" i="4" s="1"/>
  <c r="N299" i="4"/>
  <c r="L296" i="4"/>
  <c r="N247" i="4"/>
  <c r="L247" i="1"/>
  <c r="N247" i="1" s="1"/>
  <c r="L244" i="4"/>
  <c r="L228" i="9"/>
  <c r="N228" i="9" s="1"/>
  <c r="N230" i="9"/>
  <c r="L296" i="8"/>
  <c r="N296" i="8" s="1"/>
  <c r="N299" i="8"/>
  <c r="N428" i="7"/>
  <c r="L426" i="7"/>
  <c r="N426" i="7" s="1"/>
  <c r="L89" i="6"/>
  <c r="N89" i="6" s="1"/>
  <c r="N91" i="6"/>
  <c r="K129" i="5"/>
  <c r="I68" i="5"/>
  <c r="K68" i="5" s="1"/>
  <c r="I244" i="4"/>
  <c r="K244" i="4" s="1"/>
  <c r="K262" i="4"/>
  <c r="I144" i="3"/>
  <c r="K144" i="3" s="1"/>
  <c r="K149" i="3"/>
  <c r="L89" i="3"/>
  <c r="N89" i="3" s="1"/>
  <c r="N91" i="3"/>
  <c r="K63" i="2"/>
  <c r="I63" i="1"/>
  <c r="K63" i="1" s="1"/>
  <c r="L426" i="9"/>
  <c r="N426" i="9" s="1"/>
  <c r="N428" i="9"/>
  <c r="L457" i="7"/>
  <c r="N457" i="7" s="1"/>
  <c r="N459" i="7"/>
  <c r="K149" i="7"/>
  <c r="I144" i="7"/>
  <c r="K144" i="7" s="1"/>
  <c r="L52" i="7"/>
  <c r="N54" i="7"/>
  <c r="L114" i="5"/>
  <c r="N114" i="5" s="1"/>
  <c r="N116" i="5"/>
  <c r="K518" i="1"/>
  <c r="K516" i="1"/>
  <c r="K514" i="1"/>
  <c r="K517" i="1"/>
  <c r="K515" i="1"/>
  <c r="K513" i="1"/>
  <c r="K519" i="1"/>
  <c r="K169" i="9"/>
  <c r="I169" i="1"/>
  <c r="K169" i="1" s="1"/>
  <c r="M275" i="8"/>
  <c r="M278" i="1"/>
  <c r="K89" i="8"/>
  <c r="I89" i="1"/>
  <c r="K89" i="1" s="1"/>
  <c r="L350" i="7"/>
  <c r="N350" i="7" s="1"/>
  <c r="N352" i="7"/>
  <c r="L114" i="7"/>
  <c r="N114" i="7" s="1"/>
  <c r="N116" i="7"/>
  <c r="L330" i="6"/>
  <c r="N330" i="6" s="1"/>
  <c r="N332" i="6"/>
  <c r="N146" i="3"/>
  <c r="L144" i="3"/>
  <c r="N144" i="3" s="1"/>
  <c r="K74" i="2"/>
  <c r="I74" i="1"/>
  <c r="K74" i="1" s="1"/>
  <c r="I376" i="1"/>
  <c r="K376" i="1" s="1"/>
  <c r="L350" i="4"/>
  <c r="N350" i="4" s="1"/>
  <c r="N352" i="4"/>
  <c r="M6" i="3"/>
  <c r="M9" i="1"/>
  <c r="N448" i="1"/>
  <c r="I426" i="1"/>
  <c r="K426" i="1" s="1"/>
  <c r="N228" i="2"/>
  <c r="K101" i="9"/>
  <c r="I101" i="1"/>
  <c r="K101" i="1" s="1"/>
  <c r="K369" i="2"/>
  <c r="I369" i="1"/>
  <c r="K369" i="1" s="1"/>
  <c r="L89" i="2"/>
  <c r="N91" i="2"/>
  <c r="L91" i="1"/>
  <c r="N91" i="1" s="1"/>
  <c r="L101" i="7"/>
  <c r="N101" i="7" s="1"/>
  <c r="N103" i="7"/>
  <c r="M296" i="1"/>
  <c r="K528" i="1"/>
  <c r="L330" i="7"/>
  <c r="N330" i="7" s="1"/>
  <c r="N332" i="7"/>
  <c r="N199" i="2"/>
  <c r="L101" i="2"/>
  <c r="N103" i="2"/>
  <c r="L103" i="1"/>
  <c r="N103" i="1" s="1"/>
  <c r="N71" i="2"/>
  <c r="L68" i="2"/>
  <c r="L457" i="22"/>
  <c r="N457" i="22" s="1"/>
  <c r="N459" i="22"/>
  <c r="I244" i="22"/>
  <c r="K244" i="22" s="1"/>
  <c r="K262" i="22"/>
  <c r="L74" i="22"/>
  <c r="N74" i="22" s="1"/>
  <c r="N76" i="22"/>
  <c r="L473" i="22"/>
  <c r="N473" i="22" s="1"/>
  <c r="N475" i="22"/>
  <c r="L330" i="22"/>
  <c r="N332" i="22"/>
  <c r="N216" i="22"/>
  <c r="L214" i="22"/>
  <c r="N214" i="22" s="1"/>
  <c r="L89" i="22"/>
  <c r="N89" i="22" s="1"/>
  <c r="N91" i="22"/>
  <c r="K21" i="22"/>
  <c r="I10" i="22"/>
  <c r="K10" i="22" s="1"/>
  <c r="I330" i="19"/>
  <c r="K330" i="19" s="1"/>
  <c r="K344" i="19"/>
  <c r="L490" i="19"/>
  <c r="N490" i="19" s="1"/>
  <c r="N492" i="19"/>
  <c r="K149" i="22"/>
  <c r="I144" i="22"/>
  <c r="K144" i="22" s="1"/>
  <c r="J297" i="21"/>
  <c r="K297" i="21" s="1"/>
  <c r="K311" i="21"/>
  <c r="L296" i="20"/>
  <c r="N296" i="20" s="1"/>
  <c r="N299" i="20"/>
  <c r="I244" i="19"/>
  <c r="K244" i="19" s="1"/>
  <c r="K262" i="19"/>
  <c r="I68" i="19"/>
  <c r="K68" i="19" s="1"/>
  <c r="I68" i="18"/>
  <c r="K68" i="18" s="1"/>
  <c r="K129" i="18"/>
  <c r="L114" i="19"/>
  <c r="N114" i="19" s="1"/>
  <c r="N116" i="19"/>
  <c r="L444" i="18"/>
  <c r="N444" i="18" s="1"/>
  <c r="N446" i="18"/>
  <c r="J457" i="1"/>
  <c r="L275" i="16"/>
  <c r="N275" i="16" s="1"/>
  <c r="N278" i="16"/>
  <c r="L444" i="15"/>
  <c r="N444" i="15" s="1"/>
  <c r="N446" i="15"/>
  <c r="L169" i="19"/>
  <c r="N169" i="19" s="1"/>
  <c r="N171" i="19"/>
  <c r="N475" i="18"/>
  <c r="L473" i="18"/>
  <c r="N473" i="18" s="1"/>
  <c r="K344" i="17"/>
  <c r="I330" i="17"/>
  <c r="K330" i="17" s="1"/>
  <c r="N146" i="18"/>
  <c r="L144" i="18"/>
  <c r="N144" i="18" s="1"/>
  <c r="K21" i="18"/>
  <c r="I10" i="18"/>
  <c r="K10" i="18" s="1"/>
  <c r="I21" i="1"/>
  <c r="K21" i="1" s="1"/>
  <c r="N475" i="17"/>
  <c r="L473" i="17"/>
  <c r="N473" i="17" s="1"/>
  <c r="L275" i="15"/>
  <c r="N275" i="15" s="1"/>
  <c r="N278" i="15"/>
  <c r="N428" i="15"/>
  <c r="L426" i="15"/>
  <c r="N426" i="15" s="1"/>
  <c r="N332" i="17"/>
  <c r="L330" i="17"/>
  <c r="N330" i="17" s="1"/>
  <c r="I144" i="15"/>
  <c r="K144" i="15" s="1"/>
  <c r="K149" i="15"/>
  <c r="L52" i="15"/>
  <c r="N52" i="15" s="1"/>
  <c r="N54" i="15"/>
  <c r="L350" i="14"/>
  <c r="N350" i="14" s="1"/>
  <c r="N352" i="14"/>
  <c r="I144" i="14"/>
  <c r="K144" i="14" s="1"/>
  <c r="K149" i="14"/>
  <c r="L52" i="14"/>
  <c r="N52" i="14" s="1"/>
  <c r="N54" i="14"/>
  <c r="L350" i="13"/>
  <c r="N350" i="13" s="1"/>
  <c r="N352" i="13"/>
  <c r="I144" i="13"/>
  <c r="K144" i="13" s="1"/>
  <c r="K149" i="13"/>
  <c r="L52" i="13"/>
  <c r="N52" i="13" s="1"/>
  <c r="N54" i="13"/>
  <c r="N352" i="15"/>
  <c r="L350" i="15"/>
  <c r="N350" i="15" s="1"/>
  <c r="I9" i="14"/>
  <c r="K9" i="14" s="1"/>
  <c r="K20" i="14"/>
  <c r="K199" i="16"/>
  <c r="I199" i="1"/>
  <c r="K199" i="1" s="1"/>
  <c r="L101" i="16"/>
  <c r="N101" i="16" s="1"/>
  <c r="N103" i="16"/>
  <c r="K262" i="15"/>
  <c r="I244" i="15"/>
  <c r="K244" i="15" s="1"/>
  <c r="L473" i="13"/>
  <c r="N473" i="13" s="1"/>
  <c r="N475" i="13"/>
  <c r="I244" i="12"/>
  <c r="K244" i="12" s="1"/>
  <c r="K262" i="12"/>
  <c r="L350" i="10"/>
  <c r="N350" i="10" s="1"/>
  <c r="N352" i="10"/>
  <c r="M473" i="12"/>
  <c r="M475" i="1"/>
  <c r="N247" i="12"/>
  <c r="L244" i="12"/>
  <c r="K311" i="15"/>
  <c r="L350" i="12"/>
  <c r="N350" i="12" s="1"/>
  <c r="N352" i="12"/>
  <c r="N278" i="12"/>
  <c r="L275" i="12"/>
  <c r="N275" i="12" s="1"/>
  <c r="K297" i="14"/>
  <c r="N230" i="12"/>
  <c r="L228" i="12"/>
  <c r="N228" i="12" s="1"/>
  <c r="L114" i="12"/>
  <c r="N114" i="12" s="1"/>
  <c r="N116" i="12"/>
  <c r="L444" i="11"/>
  <c r="N444" i="11" s="1"/>
  <c r="N446" i="11"/>
  <c r="N201" i="11"/>
  <c r="L199" i="11"/>
  <c r="N199" i="11" s="1"/>
  <c r="L201" i="1"/>
  <c r="N201" i="1" s="1"/>
  <c r="L244" i="9"/>
  <c r="N247" i="9"/>
  <c r="L275" i="8"/>
  <c r="N275" i="8" s="1"/>
  <c r="N278" i="8"/>
  <c r="L89" i="4"/>
  <c r="N89" i="4" s="1"/>
  <c r="N91" i="4"/>
  <c r="L244" i="8"/>
  <c r="N247" i="8"/>
  <c r="L68" i="10"/>
  <c r="N68" i="10" s="1"/>
  <c r="N71" i="10"/>
  <c r="L275" i="9"/>
  <c r="N275" i="9" s="1"/>
  <c r="N278" i="9"/>
  <c r="L185" i="9"/>
  <c r="N185" i="9" s="1"/>
  <c r="N187" i="9"/>
  <c r="L228" i="8"/>
  <c r="N228" i="8" s="1"/>
  <c r="N230" i="8"/>
  <c r="N299" i="7"/>
  <c r="L296" i="7"/>
  <c r="N296" i="7" s="1"/>
  <c r="N247" i="7"/>
  <c r="L244" i="7"/>
  <c r="N131" i="7"/>
  <c r="L129" i="7"/>
  <c r="N129" i="7" s="1"/>
  <c r="N187" i="6"/>
  <c r="L185" i="6"/>
  <c r="N185" i="6" s="1"/>
  <c r="N492" i="5"/>
  <c r="L490" i="5"/>
  <c r="N490" i="5" s="1"/>
  <c r="N278" i="5"/>
  <c r="L275" i="5"/>
  <c r="N275" i="5" s="1"/>
  <c r="N230" i="5"/>
  <c r="L228" i="5"/>
  <c r="N228" i="5" s="1"/>
  <c r="K245" i="4"/>
  <c r="I245" i="1"/>
  <c r="K245" i="1" s="1"/>
  <c r="K265" i="2"/>
  <c r="I265" i="1"/>
  <c r="K265" i="1" s="1"/>
  <c r="I244" i="6"/>
  <c r="K244" i="6" s="1"/>
  <c r="K262" i="6"/>
  <c r="L457" i="5"/>
  <c r="N457" i="5" s="1"/>
  <c r="N459" i="5"/>
  <c r="J350" i="1"/>
  <c r="K149" i="4"/>
  <c r="I144" i="4"/>
  <c r="K144" i="4" s="1"/>
  <c r="I330" i="3"/>
  <c r="K330" i="3" s="1"/>
  <c r="K344" i="3"/>
  <c r="M350" i="2"/>
  <c r="M350" i="1" s="1"/>
  <c r="M352" i="1"/>
  <c r="M330" i="2"/>
  <c r="M332" i="1"/>
  <c r="I114" i="1"/>
  <c r="K114" i="1" s="1"/>
  <c r="K114" i="2"/>
  <c r="I68" i="4"/>
  <c r="K68" i="4" s="1"/>
  <c r="K129" i="4"/>
  <c r="L350" i="3"/>
  <c r="N350" i="3" s="1"/>
  <c r="N352" i="3"/>
  <c r="I244" i="3"/>
  <c r="K244" i="3" s="1"/>
  <c r="K262" i="3"/>
  <c r="L330" i="2"/>
  <c r="N332" i="2"/>
  <c r="L332" i="1"/>
  <c r="N332" i="1" s="1"/>
  <c r="N73" i="11"/>
  <c r="L71" i="11"/>
  <c r="K68" i="9"/>
  <c r="J68" i="1"/>
  <c r="N334" i="1"/>
  <c r="L350" i="5"/>
  <c r="N350" i="5" s="1"/>
  <c r="N352" i="5"/>
  <c r="N216" i="3"/>
  <c r="L214" i="3"/>
  <c r="N214" i="3" s="1"/>
  <c r="L52" i="2"/>
  <c r="N54" i="2"/>
  <c r="L54" i="1"/>
  <c r="N54" i="1" s="1"/>
  <c r="I296" i="1"/>
  <c r="K296" i="1" s="1"/>
  <c r="L444" i="2"/>
  <c r="N446" i="2"/>
  <c r="L446" i="1"/>
  <c r="J390" i="2"/>
  <c r="J390" i="1" s="1"/>
  <c r="J391" i="1"/>
  <c r="K391" i="1" s="1"/>
  <c r="K129" i="2"/>
  <c r="I129" i="1"/>
  <c r="K129" i="1" s="1"/>
  <c r="I297" i="1"/>
  <c r="M68" i="8"/>
  <c r="M71" i="1"/>
  <c r="L52" i="5"/>
  <c r="N54" i="5"/>
  <c r="N144" i="4"/>
  <c r="M144" i="1"/>
  <c r="L444" i="3"/>
  <c r="N444" i="3" s="1"/>
  <c r="N446" i="3"/>
  <c r="K311" i="2"/>
  <c r="I311" i="1"/>
  <c r="I32" i="1"/>
  <c r="K32" i="1" s="1"/>
  <c r="K32" i="2"/>
  <c r="L490" i="9"/>
  <c r="N490" i="9" s="1"/>
  <c r="N492" i="9"/>
  <c r="N74" i="4"/>
  <c r="M74" i="1"/>
  <c r="M459" i="1"/>
  <c r="M457" i="2"/>
  <c r="M457" i="1" s="1"/>
  <c r="K390" i="1"/>
  <c r="N146" i="2"/>
  <c r="L144" i="2"/>
  <c r="L146" i="1"/>
  <c r="N146" i="1" s="1"/>
  <c r="L350" i="22"/>
  <c r="N350" i="22" s="1"/>
  <c r="N352" i="22"/>
  <c r="N146" i="22"/>
  <c r="L144" i="22"/>
  <c r="N144" i="22" s="1"/>
  <c r="L244" i="21"/>
  <c r="N247" i="21"/>
  <c r="L490" i="20"/>
  <c r="N490" i="20" s="1"/>
  <c r="N492" i="20"/>
  <c r="K21" i="21"/>
  <c r="I10" i="21"/>
  <c r="K10" i="21" s="1"/>
  <c r="L129" i="20"/>
  <c r="N129" i="20" s="1"/>
  <c r="N131" i="20"/>
  <c r="L473" i="19"/>
  <c r="N473" i="19" s="1"/>
  <c r="N475" i="19"/>
  <c r="L330" i="19"/>
  <c r="N330" i="19" s="1"/>
  <c r="N332" i="19"/>
  <c r="L275" i="20"/>
  <c r="N275" i="20" s="1"/>
  <c r="N278" i="20"/>
  <c r="N171" i="21"/>
  <c r="L169" i="21"/>
  <c r="N169" i="21" s="1"/>
  <c r="N201" i="19"/>
  <c r="L199" i="19"/>
  <c r="N199" i="19" s="1"/>
  <c r="L426" i="17"/>
  <c r="N426" i="17" s="1"/>
  <c r="N428" i="17"/>
  <c r="K504" i="20"/>
  <c r="J490" i="20"/>
  <c r="K490" i="20" s="1"/>
  <c r="K149" i="19"/>
  <c r="I144" i="19"/>
  <c r="K144" i="19" s="1"/>
  <c r="L89" i="19"/>
  <c r="N89" i="19" s="1"/>
  <c r="N91" i="19"/>
  <c r="L457" i="18"/>
  <c r="N457" i="18" s="1"/>
  <c r="N459" i="18"/>
  <c r="N201" i="18"/>
  <c r="L199" i="18"/>
  <c r="N199" i="18" s="1"/>
  <c r="L244" i="16"/>
  <c r="N247" i="16"/>
  <c r="L74" i="16"/>
  <c r="N74" i="16" s="1"/>
  <c r="N76" i="16"/>
  <c r="N244" i="18"/>
  <c r="N54" i="18"/>
  <c r="L52" i="18"/>
  <c r="K245" i="17"/>
  <c r="L185" i="17"/>
  <c r="N185" i="17" s="1"/>
  <c r="N187" i="17"/>
  <c r="L129" i="18"/>
  <c r="N129" i="18" s="1"/>
  <c r="N131" i="18"/>
  <c r="L228" i="15"/>
  <c r="N228" i="15" s="1"/>
  <c r="N230" i="15"/>
  <c r="K473" i="18"/>
  <c r="J473" i="1"/>
  <c r="L74" i="17"/>
  <c r="N74" i="17" s="1"/>
  <c r="N76" i="17"/>
  <c r="N492" i="16"/>
  <c r="L490" i="16"/>
  <c r="N490" i="16" s="1"/>
  <c r="N428" i="16"/>
  <c r="L426" i="16"/>
  <c r="N426" i="16" s="1"/>
  <c r="L426" i="19"/>
  <c r="N426" i="19" s="1"/>
  <c r="N428" i="19"/>
  <c r="L114" i="15"/>
  <c r="N114" i="15" s="1"/>
  <c r="N116" i="15"/>
  <c r="K344" i="14"/>
  <c r="I330" i="14"/>
  <c r="K330" i="14" s="1"/>
  <c r="L114" i="14"/>
  <c r="N114" i="14" s="1"/>
  <c r="N116" i="14"/>
  <c r="I330" i="13"/>
  <c r="K330" i="13" s="1"/>
  <c r="K344" i="13"/>
  <c r="L114" i="13"/>
  <c r="N114" i="13" s="1"/>
  <c r="N116" i="13"/>
  <c r="K149" i="16"/>
  <c r="I144" i="16"/>
  <c r="K144" i="16" s="1"/>
  <c r="N492" i="15"/>
  <c r="L490" i="15"/>
  <c r="N490" i="15" s="1"/>
  <c r="N247" i="15"/>
  <c r="L244" i="15"/>
  <c r="L473" i="14"/>
  <c r="N473" i="14" s="1"/>
  <c r="N475" i="14"/>
  <c r="N244" i="14"/>
  <c r="L52" i="12"/>
  <c r="N54" i="12"/>
  <c r="L52" i="11"/>
  <c r="N54" i="11"/>
  <c r="L457" i="10"/>
  <c r="N457" i="10" s="1"/>
  <c r="N459" i="10"/>
  <c r="L89" i="12"/>
  <c r="N89" i="12" s="1"/>
  <c r="N91" i="12"/>
  <c r="L330" i="12"/>
  <c r="N330" i="12" s="1"/>
  <c r="N332" i="12"/>
  <c r="L169" i="12"/>
  <c r="N169" i="12" s="1"/>
  <c r="N171" i="12"/>
  <c r="L350" i="11"/>
  <c r="N350" i="11" s="1"/>
  <c r="N352" i="11"/>
  <c r="I330" i="10"/>
  <c r="K330" i="10" s="1"/>
  <c r="K344" i="10"/>
  <c r="L444" i="10"/>
  <c r="N444" i="10" s="1"/>
  <c r="N446" i="10"/>
  <c r="L129" i="10"/>
  <c r="N129" i="10" s="1"/>
  <c r="N131" i="10"/>
  <c r="N9" i="9"/>
  <c r="L185" i="8"/>
  <c r="N185" i="8" s="1"/>
  <c r="N187" i="8"/>
  <c r="L490" i="7"/>
  <c r="N492" i="7"/>
  <c r="L52" i="4"/>
  <c r="N52" i="4" s="1"/>
  <c r="N54" i="4"/>
  <c r="I144" i="11"/>
  <c r="K144" i="11" s="1"/>
  <c r="K149" i="11"/>
  <c r="N9" i="10"/>
  <c r="L296" i="9"/>
  <c r="N296" i="9" s="1"/>
  <c r="N299" i="9"/>
  <c r="L490" i="8"/>
  <c r="N490" i="8" s="1"/>
  <c r="N492" i="8"/>
  <c r="N9" i="8"/>
  <c r="L9" i="1"/>
  <c r="N9" i="1" s="1"/>
  <c r="L101" i="11"/>
  <c r="N101" i="11" s="1"/>
  <c r="N103" i="11"/>
  <c r="K457" i="8"/>
  <c r="I457" i="1"/>
  <c r="K457" i="1" s="1"/>
  <c r="N428" i="6"/>
  <c r="L426" i="6"/>
  <c r="N426" i="6" s="1"/>
  <c r="N299" i="6"/>
  <c r="L296" i="6"/>
  <c r="N296" i="6" s="1"/>
  <c r="N247" i="6"/>
  <c r="L244" i="6"/>
  <c r="N131" i="6"/>
  <c r="L129" i="6"/>
  <c r="N129" i="6" s="1"/>
  <c r="N187" i="5"/>
  <c r="L185" i="5"/>
  <c r="N185" i="5" s="1"/>
  <c r="N492" i="4"/>
  <c r="L490" i="4"/>
  <c r="N278" i="4"/>
  <c r="L275" i="4"/>
  <c r="L278" i="1"/>
  <c r="N278" i="1" s="1"/>
  <c r="N230" i="4"/>
  <c r="L228" i="4"/>
  <c r="N228" i="4" s="1"/>
  <c r="N247" i="10"/>
  <c r="L244" i="10"/>
  <c r="N446" i="8"/>
  <c r="L444" i="8"/>
  <c r="N444" i="8" s="1"/>
  <c r="K275" i="8"/>
  <c r="I275" i="1"/>
  <c r="K275" i="1" s="1"/>
  <c r="I330" i="7"/>
  <c r="K330" i="7" s="1"/>
  <c r="K344" i="7"/>
  <c r="K504" i="6"/>
  <c r="J490" i="6"/>
  <c r="K149" i="6"/>
  <c r="I144" i="6"/>
  <c r="K144" i="6" s="1"/>
  <c r="L52" i="6"/>
  <c r="N54" i="6"/>
  <c r="L169" i="5"/>
  <c r="N169" i="5" s="1"/>
  <c r="N171" i="5"/>
  <c r="L457" i="4"/>
  <c r="N457" i="4" s="1"/>
  <c r="N459" i="4"/>
  <c r="L101" i="3"/>
  <c r="N101" i="3" s="1"/>
  <c r="N103" i="3"/>
  <c r="N73" i="3"/>
  <c r="L71" i="3"/>
  <c r="L428" i="1"/>
  <c r="N428" i="1" s="1"/>
  <c r="I330" i="2"/>
  <c r="I344" i="1"/>
  <c r="K344" i="1" s="1"/>
  <c r="K344" i="2"/>
  <c r="I228" i="1"/>
  <c r="L89" i="7"/>
  <c r="N89" i="7" s="1"/>
  <c r="N91" i="7"/>
  <c r="I330" i="6"/>
  <c r="K330" i="6" s="1"/>
  <c r="K344" i="6"/>
  <c r="I330" i="5"/>
  <c r="K330" i="5" s="1"/>
  <c r="K344" i="5"/>
  <c r="I330" i="4"/>
  <c r="K330" i="4" s="1"/>
  <c r="K344" i="4"/>
  <c r="L52" i="3"/>
  <c r="N54" i="3"/>
  <c r="L350" i="2"/>
  <c r="N352" i="2"/>
  <c r="L352" i="1"/>
  <c r="N352" i="1" s="1"/>
  <c r="L89" i="11"/>
  <c r="N89" i="11" s="1"/>
  <c r="N91" i="11"/>
  <c r="L473" i="9"/>
  <c r="N473" i="9" s="1"/>
  <c r="N475" i="9"/>
  <c r="L169" i="7"/>
  <c r="N169" i="7" s="1"/>
  <c r="N171" i="7"/>
  <c r="L350" i="6"/>
  <c r="N350" i="6" s="1"/>
  <c r="N352" i="6"/>
  <c r="K311" i="6"/>
  <c r="L101" i="6"/>
  <c r="N101" i="6" s="1"/>
  <c r="N103" i="6"/>
  <c r="K149" i="5"/>
  <c r="I144" i="5"/>
  <c r="K144" i="5" s="1"/>
  <c r="N216" i="4"/>
  <c r="L214" i="4"/>
  <c r="N214" i="4" s="1"/>
  <c r="L169" i="3"/>
  <c r="N169" i="3" s="1"/>
  <c r="N171" i="3"/>
  <c r="L114" i="2"/>
  <c r="N116" i="2"/>
  <c r="L116" i="1"/>
  <c r="N116" i="1" s="1"/>
  <c r="J504" i="1"/>
  <c r="K350" i="4"/>
  <c r="I276" i="1"/>
  <c r="K276" i="1" s="1"/>
  <c r="K270" i="3"/>
  <c r="I270" i="1"/>
  <c r="K270" i="1" s="1"/>
  <c r="N216" i="2"/>
  <c r="L214" i="2"/>
  <c r="L216" i="1"/>
  <c r="N216" i="1" s="1"/>
  <c r="L89" i="5"/>
  <c r="N89" i="5" s="1"/>
  <c r="N91" i="5"/>
  <c r="M444" i="1"/>
  <c r="L299" i="1"/>
  <c r="I377" i="1"/>
  <c r="K377" i="1" s="1"/>
  <c r="I330" i="22"/>
  <c r="K330" i="22" s="1"/>
  <c r="K344" i="22"/>
  <c r="N299" i="21"/>
  <c r="L296" i="21"/>
  <c r="N296" i="21" s="1"/>
  <c r="N428" i="22"/>
  <c r="L426" i="22"/>
  <c r="N426" i="22" s="1"/>
  <c r="L169" i="22"/>
  <c r="N169" i="22" s="1"/>
  <c r="N171" i="22"/>
  <c r="L101" i="22"/>
  <c r="N101" i="22" s="1"/>
  <c r="N103" i="22"/>
  <c r="L457" i="21"/>
  <c r="N457" i="21" s="1"/>
  <c r="N459" i="21"/>
  <c r="L129" i="21"/>
  <c r="N129" i="21" s="1"/>
  <c r="N131" i="21"/>
  <c r="L426" i="20"/>
  <c r="N426" i="20" s="1"/>
  <c r="N428" i="20"/>
  <c r="L444" i="20"/>
  <c r="N444" i="20" s="1"/>
  <c r="N446" i="20"/>
  <c r="I68" i="22"/>
  <c r="K68" i="22" s="1"/>
  <c r="L444" i="21"/>
  <c r="N444" i="21" s="1"/>
  <c r="N446" i="21"/>
  <c r="L244" i="20"/>
  <c r="N247" i="20"/>
  <c r="L169" i="18"/>
  <c r="N169" i="18" s="1"/>
  <c r="N171" i="18"/>
  <c r="L52" i="19"/>
  <c r="N54" i="19"/>
  <c r="N54" i="21"/>
  <c r="L52" i="21"/>
  <c r="N352" i="17"/>
  <c r="L350" i="17"/>
  <c r="N350" i="17" s="1"/>
  <c r="N131" i="17"/>
  <c r="L129" i="17"/>
  <c r="N129" i="17" s="1"/>
  <c r="L296" i="16"/>
  <c r="N296" i="16" s="1"/>
  <c r="N299" i="16"/>
  <c r="L228" i="16"/>
  <c r="N228" i="16" s="1"/>
  <c r="N230" i="16"/>
  <c r="L444" i="17"/>
  <c r="N444" i="17" s="1"/>
  <c r="N446" i="17"/>
  <c r="L228" i="17"/>
  <c r="N228" i="17" s="1"/>
  <c r="N230" i="17"/>
  <c r="N299" i="15"/>
  <c r="L296" i="15"/>
  <c r="N296" i="15" s="1"/>
  <c r="L275" i="17"/>
  <c r="N275" i="17" s="1"/>
  <c r="N278" i="17"/>
  <c r="L457" i="15"/>
  <c r="N457" i="15" s="1"/>
  <c r="N459" i="15"/>
  <c r="L101" i="15"/>
  <c r="N101" i="15" s="1"/>
  <c r="N103" i="15"/>
  <c r="L330" i="14"/>
  <c r="N330" i="14" s="1"/>
  <c r="N332" i="14"/>
  <c r="L101" i="14"/>
  <c r="N101" i="14" s="1"/>
  <c r="N103" i="14"/>
  <c r="L330" i="13"/>
  <c r="N330" i="13" s="1"/>
  <c r="N332" i="13"/>
  <c r="L101" i="13"/>
  <c r="N101" i="13" s="1"/>
  <c r="N103" i="13"/>
  <c r="K129" i="16"/>
  <c r="I68" i="16"/>
  <c r="K68" i="16" s="1"/>
  <c r="L89" i="16"/>
  <c r="N89" i="16" s="1"/>
  <c r="N91" i="16"/>
  <c r="I9" i="15"/>
  <c r="K9" i="15" s="1"/>
  <c r="K20" i="15"/>
  <c r="I9" i="13"/>
  <c r="K9" i="13" s="1"/>
  <c r="K20" i="13"/>
  <c r="L114" i="16"/>
  <c r="N114" i="16" s="1"/>
  <c r="N116" i="16"/>
  <c r="L52" i="16"/>
  <c r="N54" i="16"/>
  <c r="I244" i="11"/>
  <c r="K244" i="11" s="1"/>
  <c r="K262" i="11"/>
  <c r="N299" i="12"/>
  <c r="L296" i="12"/>
  <c r="N296" i="12" s="1"/>
  <c r="I330" i="11"/>
  <c r="K330" i="11" s="1"/>
  <c r="K344" i="11"/>
  <c r="I330" i="12"/>
  <c r="K330" i="12" s="1"/>
  <c r="K344" i="12"/>
  <c r="K149" i="12"/>
  <c r="I144" i="12"/>
  <c r="K144" i="12" s="1"/>
  <c r="L74" i="7"/>
  <c r="N74" i="7" s="1"/>
  <c r="N76" i="7"/>
  <c r="L74" i="6"/>
  <c r="N74" i="6" s="1"/>
  <c r="N76" i="6"/>
  <c r="L74" i="5"/>
  <c r="N76" i="5"/>
  <c r="L76" i="1"/>
  <c r="N76" i="1" s="1"/>
  <c r="L114" i="4"/>
  <c r="N114" i="4" s="1"/>
  <c r="N116" i="4"/>
  <c r="L185" i="10"/>
  <c r="N185" i="10" s="1"/>
  <c r="N187" i="10"/>
  <c r="K245" i="8"/>
  <c r="K185" i="8"/>
  <c r="I185" i="1"/>
  <c r="K185" i="1" s="1"/>
  <c r="L129" i="9"/>
  <c r="N129" i="9" s="1"/>
  <c r="N131" i="9"/>
  <c r="L426" i="8"/>
  <c r="N426" i="8" s="1"/>
  <c r="N428" i="8"/>
  <c r="N278" i="7"/>
  <c r="L275" i="7"/>
  <c r="N275" i="7" s="1"/>
  <c r="N230" i="7"/>
  <c r="L228" i="7"/>
  <c r="N228" i="7" s="1"/>
  <c r="K444" i="5"/>
  <c r="I444" i="1"/>
  <c r="K444" i="1" s="1"/>
  <c r="N247" i="5"/>
  <c r="L244" i="5"/>
  <c r="N131" i="5"/>
  <c r="L129" i="5"/>
  <c r="N129" i="5" s="1"/>
  <c r="L131" i="1"/>
  <c r="N131" i="1" s="1"/>
  <c r="K325" i="4"/>
  <c r="I325" i="1"/>
  <c r="K325" i="1" s="1"/>
  <c r="N187" i="4"/>
  <c r="L185" i="4"/>
  <c r="N185" i="4" s="1"/>
  <c r="K473" i="9"/>
  <c r="I473" i="1"/>
  <c r="L101" i="5"/>
  <c r="N101" i="5" s="1"/>
  <c r="N103" i="5"/>
  <c r="L169" i="2"/>
  <c r="L171" i="1"/>
  <c r="N171" i="1" s="1"/>
  <c r="N171" i="2"/>
  <c r="I52" i="1"/>
  <c r="K52" i="1" s="1"/>
  <c r="K52" i="2"/>
  <c r="I244" i="7"/>
  <c r="K244" i="7" s="1"/>
  <c r="K262" i="7"/>
  <c r="L457" i="6"/>
  <c r="N457" i="6" s="1"/>
  <c r="N459" i="6"/>
  <c r="N32" i="4"/>
  <c r="L32" i="1"/>
  <c r="L330" i="3"/>
  <c r="N332" i="3"/>
  <c r="L114" i="3"/>
  <c r="N114" i="3" s="1"/>
  <c r="N116" i="3"/>
  <c r="N216" i="6"/>
  <c r="L214" i="6"/>
  <c r="N214" i="6" s="1"/>
  <c r="L330" i="5"/>
  <c r="N330" i="5" s="1"/>
  <c r="N332" i="5"/>
  <c r="K33" i="5"/>
  <c r="I33" i="1"/>
  <c r="K33" i="1" s="1"/>
  <c r="M32" i="1"/>
  <c r="L330" i="4"/>
  <c r="N330" i="4" s="1"/>
  <c r="N332" i="4"/>
  <c r="L457" i="3"/>
  <c r="N457" i="3" s="1"/>
  <c r="N459" i="3"/>
  <c r="L492" i="1"/>
  <c r="N492" i="1" s="1"/>
  <c r="L457" i="2"/>
  <c r="N459" i="2"/>
  <c r="L459" i="1"/>
  <c r="N459" i="1" s="1"/>
  <c r="I244" i="2"/>
  <c r="K262" i="2"/>
  <c r="I262" i="1"/>
  <c r="K262" i="1" s="1"/>
  <c r="L475" i="1"/>
  <c r="N475" i="1" s="1"/>
  <c r="I267" i="1"/>
  <c r="K267" i="1" s="1"/>
  <c r="M490" i="7"/>
  <c r="M492" i="1"/>
  <c r="I244" i="5"/>
  <c r="K244" i="5" s="1"/>
  <c r="K262" i="5"/>
  <c r="I350" i="1"/>
  <c r="K350" i="1" s="1"/>
  <c r="I9" i="4"/>
  <c r="K20" i="4"/>
  <c r="I20" i="1"/>
  <c r="K20" i="1" s="1"/>
  <c r="J311" i="1"/>
  <c r="J297" i="2"/>
  <c r="L230" i="1"/>
  <c r="N230" i="1" s="1"/>
  <c r="N129" i="2"/>
  <c r="L169" i="6"/>
  <c r="N169" i="6" s="1"/>
  <c r="N171" i="6"/>
  <c r="N216" i="5"/>
  <c r="L214" i="5"/>
  <c r="N214" i="5" s="1"/>
  <c r="I368" i="1"/>
  <c r="K368" i="1" s="1"/>
  <c r="I144" i="2"/>
  <c r="K149" i="2"/>
  <c r="I149" i="1"/>
  <c r="K149" i="1" s="1"/>
  <c r="N446" i="9"/>
  <c r="L444" i="9"/>
  <c r="N444" i="9" s="1"/>
  <c r="L114" i="6"/>
  <c r="N114" i="6" s="1"/>
  <c r="N116" i="6"/>
  <c r="L169" i="4"/>
  <c r="N169" i="4" s="1"/>
  <c r="N171" i="4"/>
  <c r="I490" i="1"/>
  <c r="K490" i="2"/>
  <c r="K504" i="1"/>
  <c r="K511" i="1"/>
  <c r="K509" i="1"/>
  <c r="K505" i="1"/>
  <c r="K507" i="1"/>
  <c r="M299" i="1"/>
  <c r="M6" i="2"/>
  <c r="K129" i="6"/>
  <c r="I68" i="6"/>
  <c r="K68" i="6" s="1"/>
  <c r="M446" i="1"/>
  <c r="K377" i="2"/>
  <c r="I68" i="2"/>
  <c r="N71" i="9" l="1"/>
  <c r="N71" i="8"/>
  <c r="N71" i="5"/>
  <c r="N71" i="6"/>
  <c r="L68" i="15"/>
  <c r="N68" i="15" s="1"/>
  <c r="K473" i="1"/>
  <c r="K228" i="1"/>
  <c r="N71" i="22"/>
  <c r="L68" i="22"/>
  <c r="N68" i="22" s="1"/>
  <c r="L68" i="18"/>
  <c r="N68" i="18" s="1"/>
  <c r="L68" i="20"/>
  <c r="N68" i="20" s="1"/>
  <c r="N71" i="21"/>
  <c r="L68" i="16"/>
  <c r="N68" i="16" s="1"/>
  <c r="L199" i="1"/>
  <c r="N199" i="1" s="1"/>
  <c r="L129" i="1"/>
  <c r="N129" i="1" s="1"/>
  <c r="N71" i="7"/>
  <c r="I10" i="1"/>
  <c r="K10" i="1" s="1"/>
  <c r="L71" i="1"/>
  <c r="N71" i="1" s="1"/>
  <c r="L68" i="19"/>
  <c r="N68" i="19" s="1"/>
  <c r="N71" i="19"/>
  <c r="L242" i="19"/>
  <c r="N242" i="19" s="1"/>
  <c r="N71" i="17"/>
  <c r="N71" i="12"/>
  <c r="L68" i="12"/>
  <c r="N68" i="12" s="1"/>
  <c r="L6" i="9"/>
  <c r="N6" i="9" s="1"/>
  <c r="N71" i="4"/>
  <c r="L68" i="4"/>
  <c r="N68" i="4" s="1"/>
  <c r="N71" i="13"/>
  <c r="L68" i="13"/>
  <c r="N71" i="14"/>
  <c r="L68" i="14"/>
  <c r="M490" i="1"/>
  <c r="M242" i="7"/>
  <c r="N52" i="19"/>
  <c r="N244" i="20"/>
  <c r="L242" i="20"/>
  <c r="N242" i="20" s="1"/>
  <c r="N490" i="4"/>
  <c r="L490" i="1"/>
  <c r="N52" i="11"/>
  <c r="N244" i="15"/>
  <c r="L242" i="15"/>
  <c r="N242" i="15" s="1"/>
  <c r="N244" i="16"/>
  <c r="L242" i="16"/>
  <c r="N242" i="16" s="1"/>
  <c r="N144" i="2"/>
  <c r="L144" i="1"/>
  <c r="N144" i="1" s="1"/>
  <c r="M6" i="8"/>
  <c r="M68" i="1"/>
  <c r="L444" i="1"/>
  <c r="N444" i="1" s="1"/>
  <c r="N444" i="2"/>
  <c r="N71" i="11"/>
  <c r="L68" i="11"/>
  <c r="N68" i="11" s="1"/>
  <c r="L330" i="1"/>
  <c r="N330" i="2"/>
  <c r="L242" i="2"/>
  <c r="N244" i="7"/>
  <c r="L242" i="7"/>
  <c r="N242" i="7" s="1"/>
  <c r="N68" i="17"/>
  <c r="L6" i="17"/>
  <c r="N6" i="17" s="1"/>
  <c r="L228" i="1"/>
  <c r="N228" i="1" s="1"/>
  <c r="L473" i="1"/>
  <c r="N52" i="7"/>
  <c r="L6" i="7"/>
  <c r="N6" i="7" s="1"/>
  <c r="N296" i="4"/>
  <c r="L296" i="1"/>
  <c r="N296" i="1" s="1"/>
  <c r="N244" i="17"/>
  <c r="L242" i="17"/>
  <c r="N242" i="17" s="1"/>
  <c r="L457" i="1"/>
  <c r="N457" i="1" s="1"/>
  <c r="N457" i="2"/>
  <c r="N330" i="3"/>
  <c r="L242" i="3"/>
  <c r="N242" i="3" s="1"/>
  <c r="I244" i="1"/>
  <c r="K244" i="1" s="1"/>
  <c r="K244" i="2"/>
  <c r="N32" i="1"/>
  <c r="N52" i="21"/>
  <c r="L6" i="21"/>
  <c r="N6" i="21" s="1"/>
  <c r="N299" i="1"/>
  <c r="N114" i="2"/>
  <c r="L114" i="1"/>
  <c r="N114" i="1" s="1"/>
  <c r="L350" i="1"/>
  <c r="N350" i="1" s="1"/>
  <c r="N350" i="2"/>
  <c r="N71" i="3"/>
  <c r="L68" i="3"/>
  <c r="N68" i="3" s="1"/>
  <c r="K490" i="6"/>
  <c r="J490" i="1"/>
  <c r="N244" i="10"/>
  <c r="L242" i="10"/>
  <c r="N242" i="10" s="1"/>
  <c r="L6" i="8"/>
  <c r="N6" i="8" s="1"/>
  <c r="L242" i="14"/>
  <c r="N242" i="14" s="1"/>
  <c r="N52" i="18"/>
  <c r="L426" i="1"/>
  <c r="N426" i="1" s="1"/>
  <c r="N244" i="8"/>
  <c r="L242" i="8"/>
  <c r="L242" i="13"/>
  <c r="N242" i="13" s="1"/>
  <c r="M473" i="1"/>
  <c r="M242" i="12"/>
  <c r="N68" i="2"/>
  <c r="N101" i="2"/>
  <c r="L101" i="1"/>
  <c r="N101" i="1" s="1"/>
  <c r="N244" i="4"/>
  <c r="L242" i="4"/>
  <c r="N242" i="4" s="1"/>
  <c r="L244" i="1"/>
  <c r="N244" i="1" s="1"/>
  <c r="K68" i="2"/>
  <c r="I68" i="1"/>
  <c r="K68" i="1" s="1"/>
  <c r="K144" i="2"/>
  <c r="I144" i="1"/>
  <c r="K144" i="1" s="1"/>
  <c r="N74" i="5"/>
  <c r="L74" i="1"/>
  <c r="N74" i="1" s="1"/>
  <c r="N52" i="16"/>
  <c r="N214" i="2"/>
  <c r="L214" i="1"/>
  <c r="N214" i="1" s="1"/>
  <c r="N52" i="6"/>
  <c r="L6" i="6"/>
  <c r="N6" i="6" s="1"/>
  <c r="N275" i="4"/>
  <c r="L275" i="1"/>
  <c r="N244" i="6"/>
  <c r="L242" i="6"/>
  <c r="N242" i="6" s="1"/>
  <c r="N490" i="7"/>
  <c r="N52" i="12"/>
  <c r="N244" i="21"/>
  <c r="L242" i="21"/>
  <c r="N242" i="21" s="1"/>
  <c r="N52" i="5"/>
  <c r="L6" i="5"/>
  <c r="N6" i="5" s="1"/>
  <c r="N446" i="1"/>
  <c r="N52" i="2"/>
  <c r="L52" i="1"/>
  <c r="N52" i="1" s="1"/>
  <c r="L6" i="2"/>
  <c r="M330" i="1"/>
  <c r="M242" i="2"/>
  <c r="N244" i="12"/>
  <c r="L242" i="12"/>
  <c r="N242" i="12" s="1"/>
  <c r="N330" i="11"/>
  <c r="L242" i="11"/>
  <c r="N242" i="11" s="1"/>
  <c r="N473" i="12"/>
  <c r="M6" i="1"/>
  <c r="K490" i="1"/>
  <c r="J297" i="1"/>
  <c r="K297" i="1" s="1"/>
  <c r="K297" i="2"/>
  <c r="K9" i="4"/>
  <c r="I9" i="1"/>
  <c r="K9" i="1" s="1"/>
  <c r="N169" i="2"/>
  <c r="L169" i="1"/>
  <c r="N169" i="1" s="1"/>
  <c r="N244" i="5"/>
  <c r="L242" i="5"/>
  <c r="N242" i="5" s="1"/>
  <c r="L185" i="1"/>
  <c r="N185" i="1" s="1"/>
  <c r="N52" i="3"/>
  <c r="I330" i="1"/>
  <c r="K330" i="1" s="1"/>
  <c r="K330" i="2"/>
  <c r="L6" i="10"/>
  <c r="N6" i="10" s="1"/>
  <c r="L242" i="18"/>
  <c r="N242" i="18" s="1"/>
  <c r="K311" i="1"/>
  <c r="N244" i="9"/>
  <c r="L242" i="9"/>
  <c r="N242" i="9" s="1"/>
  <c r="N330" i="22"/>
  <c r="L242" i="22"/>
  <c r="N242" i="22" s="1"/>
  <c r="N89" i="2"/>
  <c r="L89" i="1"/>
  <c r="N89" i="1" s="1"/>
  <c r="M275" i="1"/>
  <c r="M242" i="8"/>
  <c r="L6" i="20" l="1"/>
  <c r="N6" i="20" s="1"/>
  <c r="L6" i="18"/>
  <c r="N6" i="18" s="1"/>
  <c r="L6" i="15"/>
  <c r="N6" i="15" s="1"/>
  <c r="L6" i="22"/>
  <c r="N6" i="22" s="1"/>
  <c r="L6" i="16"/>
  <c r="N6" i="16" s="1"/>
  <c r="L6" i="19"/>
  <c r="N6" i="19" s="1"/>
  <c r="L6" i="12"/>
  <c r="N6" i="12" s="1"/>
  <c r="L6" i="4"/>
  <c r="N6" i="4" s="1"/>
  <c r="L6" i="3"/>
  <c r="N6" i="3" s="1"/>
  <c r="L68" i="1"/>
  <c r="N68" i="1" s="1"/>
  <c r="N68" i="13"/>
  <c r="L6" i="13"/>
  <c r="N6" i="13" s="1"/>
  <c r="N68" i="14"/>
  <c r="L6" i="14"/>
  <c r="N6" i="14" s="1"/>
  <c r="N6" i="2"/>
  <c r="N490" i="1"/>
  <c r="N275" i="1"/>
  <c r="N473" i="1"/>
  <c r="N330" i="1"/>
  <c r="M242" i="1"/>
  <c r="L6" i="11"/>
  <c r="N6" i="11" s="1"/>
  <c r="N242" i="8"/>
  <c r="N242" i="2"/>
  <c r="L242" i="1"/>
  <c r="N242" i="1" s="1"/>
  <c r="L6" i="1" l="1"/>
  <c r="N6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138" authorId="0" shapeId="0" xr:uid="{00000000-0006-0000-0300-000001000000}">
      <text>
        <r>
          <rPr>
            <sz val="11"/>
            <color theme="1"/>
            <rFont val="Arial"/>
          </rPr>
          <t>ผืนดิน</t>
        </r>
      </text>
    </comment>
    <comment ref="L139" authorId="0" shapeId="0" xr:uid="{00000000-0006-0000-0300-000002000000}">
      <text>
        <r>
          <rPr>
            <sz val="11"/>
            <color theme="1"/>
            <rFont val="Arial"/>
          </rPr>
          <t>พัชร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138" authorId="0" shapeId="0" xr:uid="{00000000-0006-0000-1100-000001000000}">
      <text>
        <r>
          <rPr>
            <sz val="11"/>
            <color theme="1"/>
            <rFont val="Arial"/>
          </rPr>
          <t>ที่ราบ</t>
        </r>
      </text>
    </comment>
    <comment ref="L139" authorId="0" shapeId="0" xr:uid="{00000000-0006-0000-1100-000002000000}">
      <text>
        <r>
          <rPr>
            <sz val="11"/>
            <color theme="1"/>
            <rFont val="Arial"/>
          </rPr>
          <t>พัชร</t>
        </r>
      </text>
    </comment>
  </commentList>
</comments>
</file>

<file path=xl/sharedStrings.xml><?xml version="1.0" encoding="utf-8"?>
<sst xmlns="http://schemas.openxmlformats.org/spreadsheetml/2006/main" count="21998" uniqueCount="248">
  <si>
    <t>รายละเอียดแผนงาน/โครงการ ผลผลิต/กิจกรรม ปีงบประมาณ พ.ศ. 2565</t>
  </si>
  <si>
    <t>ภาคกลาง</t>
  </si>
  <si>
    <t>ใส่ข้อมูลปริมาณ
 ตามหน่วย</t>
  </si>
  <si>
    <t>ใส่ข้อมูล</t>
  </si>
  <si>
    <t>แผนงาน/โครงการ/กิจกรรม</t>
  </si>
  <si>
    <t>หน่วย</t>
  </si>
  <si>
    <t>แผนงาน</t>
  </si>
  <si>
    <t>ผลงาน</t>
  </si>
  <si>
    <t>ร้อยละ</t>
  </si>
  <si>
    <t>งบประมาณ 
(บาท)</t>
  </si>
  <si>
    <t>ผลการเบิกจ่าย
(บาท)</t>
  </si>
  <si>
    <t>งบประมาณตาม พรบ.งบประมาณ 2565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</si>
  <si>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</si>
  <si>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</si>
  <si>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</si>
  <si>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</si>
  <si>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</si>
  <si>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>◾</t>
  </si>
  <si>
    <t>งบประมาณ</t>
  </si>
  <si>
    <t xml:space="preserve"> - ส.ป.ก.ส่วนกลาง </t>
  </si>
  <si>
    <t>บาท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</si>
  <si>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</si>
  <si>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</si>
  <si>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</si>
  <si>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</si>
  <si>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</si>
  <si>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</si>
  <si>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</si>
  <si>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</si>
  <si>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</si>
  <si>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</si>
  <si>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</si>
  <si>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</si>
  <si>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</si>
  <si>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</si>
  <si>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</si>
  <si>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</si>
  <si>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</si>
  <si>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</si>
  <si>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</si>
  <si>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</si>
  <si>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</si>
  <si>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</si>
  <si>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</si>
  <si>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</si>
  <si>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</si>
  <si>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</si>
  <si>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</si>
  <si>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</si>
  <si>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</si>
  <si>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</si>
  <si>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</si>
  <si>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</si>
  <si>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</si>
  <si>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</si>
  <si>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</si>
  <si>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</si>
  <si>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</si>
  <si>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</si>
  <si>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</si>
  <si>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</si>
  <si>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</si>
  <si>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</si>
  <si>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</si>
  <si>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</si>
  <si>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</si>
  <si>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</si>
  <si>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</si>
  <si>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</si>
  <si>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</si>
  <si>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</si>
  <si>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</si>
  <si>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</si>
  <si>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</si>
  <si>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</si>
  <si>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</si>
  <si>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</si>
  <si>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</si>
  <si>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</si>
  <si>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</si>
  <si>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 - อบรมเกษตรกร (แผนพรบ. 800 แผนปฏิบัติการ 940)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</si>
  <si>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</si>
  <si>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</si>
  <si>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</si>
  <si>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</si>
  <si>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</si>
  <si>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</si>
  <si>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</si>
  <si>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</si>
  <si>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</si>
  <si>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</si>
  <si>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</si>
  <si>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</si>
  <si>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</si>
  <si>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</si>
  <si>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</si>
  <si>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</si>
  <si>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</si>
  <si>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</si>
  <si>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</si>
  <si>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</si>
  <si>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</si>
  <si>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</si>
  <si>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</si>
  <si>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</si>
  <si>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</si>
  <si>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</si>
  <si>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</si>
  <si>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</si>
  <si>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</si>
  <si>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</si>
  <si>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</si>
  <si>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</si>
  <si>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</si>
  <si>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</si>
  <si>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</si>
  <si>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</si>
  <si>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</si>
  <si>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</si>
  <si>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</si>
  <si>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ครั้งที่ 1 (อบรมรายละ 2 หลักสูตร)</t>
  </si>
  <si>
    <t>- ครั้งที่ 2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</si>
  <si>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</si>
  <si>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</si>
  <si>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</si>
  <si>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</si>
  <si>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</si>
  <si>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</si>
  <si>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</si>
  <si>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</si>
  <si>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</si>
  <si>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</si>
  <si>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</si>
  <si>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</si>
  <si>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</si>
  <si>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</si>
  <si>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</si>
  <si>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</si>
  <si>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</si>
  <si>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</si>
  <si>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</si>
  <si>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</si>
  <si>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</si>
  <si>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</si>
  <si>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</si>
  <si>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</si>
  <si>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</si>
  <si>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</si>
  <si>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</si>
  <si>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</si>
  <si>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</si>
  <si>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</si>
  <si>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</si>
  <si>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</si>
  <si>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</si>
  <si>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</si>
  <si>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</si>
  <si>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</si>
  <si>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</si>
  <si>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</si>
  <si>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</si>
  <si>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</si>
  <si>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</si>
  <si>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</si>
  <si>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</si>
  <si>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</si>
  <si>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</si>
  <si>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</si>
  <si>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</si>
  <si>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</si>
  <si>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</si>
  <si>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</si>
  <si>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</si>
  <si>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</si>
  <si>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</si>
  <si>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</si>
  <si>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</si>
  <si>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</si>
  <si>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</si>
  <si>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</si>
  <si>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</si>
  <si>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</si>
  <si>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</si>
  <si>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</si>
  <si>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</si>
  <si>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</si>
  <si>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</si>
  <si>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</si>
  <si>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</si>
  <si>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</si>
  <si>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</si>
  <si>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</si>
  <si>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</si>
  <si>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</si>
  <si>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</si>
  <si>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</si>
  <si>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</si>
  <si>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</si>
  <si>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</si>
  <si>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</si>
  <si>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</si>
  <si>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</si>
  <si>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</si>
  <si>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</si>
  <si>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</si>
  <si>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</si>
  <si>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</si>
  <si>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</si>
  <si>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</si>
  <si>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</si>
  <si>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</si>
  <si>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</si>
  <si>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</si>
  <si>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</si>
  <si>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</si>
  <si>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</si>
  <si>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</si>
  <si>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</si>
  <si>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กาญจนบุรี</t>
  </si>
  <si>
    <t>(5) โครงการพัฒนาพื้นที่สูงแบบโครงการหลวง ตำบลห้วยเขย่ง อำเภอทองผาภูมิ จังหวัดกาญจนบุรี</t>
  </si>
  <si>
    <t>สำนักงานการปฏิรูปที่ดินจังหวัด จันทบุรี</t>
  </si>
  <si>
    <t>(5) โครงการพัชรสุธาคชานุรักษ์</t>
  </si>
  <si>
    <t>สำนักงานการปฏิรูปที่ดินจังหวัด ฉะเชิงเทรา</t>
  </si>
  <si>
    <t>-</t>
  </si>
  <si>
    <t>(5) โครงการที่ดินพระราชทาน 40 ราย / โครงการพัชรสุธาคชานุรักษ์ 40 ราย</t>
  </si>
  <si>
    <t>สำนักงานการปฏิรูปที่ดินจังหวัด ชลบุรี</t>
  </si>
  <si>
    <t>สำนักงานการปฏิรูปที่ดินจังหวัด ชัยนาท</t>
  </si>
  <si>
    <t>สำนักงานการปฏิรูปที่ดินจังหวัด ตราด</t>
  </si>
  <si>
    <t>สำนักงานการปฏิรูปที่ดินจังหวัด นครนายก</t>
  </si>
  <si>
    <t xml:space="preserve">(5) โครงการที่ดินพระราชทาน </t>
  </si>
  <si>
    <t>สำนักงานการปฏิรูปที่ดินจังหวัด นครปฐม</t>
  </si>
  <si>
    <t>สำนักงานการปฏิรูปที่ดินจังหวัด ปทุมธานี</t>
  </si>
  <si>
    <t>สำนักงานการปฏิรูปที่ดินจังหวัด ประจวบคีรีขันธ์</t>
  </si>
  <si>
    <t>สำนักงานการปฏิรูปที่ดินจังหวัด ปราจีนบุรี</t>
  </si>
  <si>
    <t>(5) โครงการพัฒนาพื้นที่ราบเชิงเขาจังหวัดสระแก้ว – ปราจีนบุรี ตามพระราชดำริ</t>
  </si>
  <si>
    <t>สำนักงานการปฏิรูปที่ดินจังหวัด พระนครศรีอยุธยา</t>
  </si>
  <si>
    <t>สำนักงานการปฏิรูปที่ดินจังหวัด เพชรบุรี</t>
  </si>
  <si>
    <t>สำนักงานการปฏิรูปที่ดินจังหวัด ระยอง</t>
  </si>
  <si>
    <t>สำนักงานการปฏิรูปที่ดินจังหวัด ราชบุรี</t>
  </si>
  <si>
    <t>สำนักงานการปฏิรูปที่ดินจังหวัด ลพบุรี</t>
  </si>
  <si>
    <t>สำนักงานการปฏิรูปที่ดินจังหวัด สระแก้ว</t>
  </si>
  <si>
    <t>(5) โครงการพัฒนาพื้นที่ราบเชิงเขาจังหวัดสระแก้ว – ปราจีนบุรี 40 ราย / โครงการพัชรสุธาคชานุรักษ์ 20 ราย</t>
  </si>
  <si>
    <t>สำนักงานการปฏิรูปที่ดินจังหวัด สระบุรี</t>
  </si>
  <si>
    <t>สำนักงานการปฏิรูปที่ดินจังหวัด สิงห์บุรี</t>
  </si>
  <si>
    <t>สำนักงานการปฏิรูปที่ดินจังหวัด สุพรรณบุรี</t>
  </si>
  <si>
    <t>สำนักงานการปฏิรูปที่ดินจังหวัด อ่างทอง</t>
  </si>
  <si>
    <r>
      <t>ขั้นตอนการดำเนินงาน (ระบุ 1 ในช่อง 1 2  หรือ 3 เพียงข้อเดียว เ</t>
    </r>
    <r>
      <rPr>
        <b/>
        <u/>
        <sz val="16"/>
        <color rgb="FFCC4125"/>
        <rFont val="TH SarabunPSK"/>
        <family val="2"/>
      </rPr>
      <t>ท่านั้น</t>
    </r>
    <r>
      <rPr>
        <b/>
        <u/>
        <sz val="16"/>
        <color theme="1"/>
        <rFont val="TH SarabunPSK"/>
        <family val="2"/>
      </rPr>
      <t>)</t>
    </r>
  </si>
  <si>
    <t>ข้อมูล ณ วันที่ 30 พฤศจิกายน 2564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</si>
</sst>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11" x14ac:knownFonts="1">
    <font>
      <sz val="11"/>
      <color theme="1"/>
      <name val="Arial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0"/>
      <name val="TH SarabunPSK"/>
      <family val="2"/>
    </font>
    <font>
      <sz val="16"/>
      <name val="TH SarabunPSK"/>
      <family val="2"/>
    </font>
    <font>
      <b/>
      <u/>
      <sz val="16"/>
      <color theme="1"/>
      <name val="TH SarabunPSK"/>
      <family val="2"/>
    </font>
    <font>
      <b/>
      <u/>
      <sz val="16"/>
      <color rgb="FFCC4125"/>
      <name val="TH SarabunPSK"/>
      <family val="2"/>
    </font>
    <font>
      <sz val="16"/>
      <color rgb="FFC00000"/>
      <name val="TH SarabunPSK"/>
      <family val="2"/>
    </font>
    <font>
      <sz val="16"/>
      <color theme="0"/>
      <name val="TH SarabunPSK"/>
      <family val="2"/>
    </font>
    <font>
      <sz val="16"/>
      <color rgb="FFFF0000"/>
      <name val="TH SarabunPSK"/>
      <family val="2"/>
    </font>
    <font>
      <sz val="16"/>
      <color rgb="FF666666"/>
      <name val="TH SarabunPSK"/>
      <family val="2"/>
    </font>
  </fonts>
  <fills count="23">
    <fill>
      <patternFill patternType="none"/>
    </fill>
    <fill>
      <patternFill patternType="gray125"/>
    </fill>
    <fill>
      <patternFill patternType="solid">
        <fgColor rgb="FFFCFAB0"/>
        <bgColor rgb="FFFCFAB0"/>
      </patternFill>
    </fill>
    <fill>
      <patternFill patternType="solid">
        <fgColor theme="0"/>
        <bgColor theme="0"/>
      </patternFill>
    </fill>
    <fill>
      <patternFill patternType="solid">
        <fgColor rgb="FFFAE6F6"/>
        <bgColor rgb="FFFAE6F6"/>
      </patternFill>
    </fill>
    <fill>
      <patternFill patternType="solid">
        <fgColor rgb="FF548135"/>
        <bgColor rgb="FF548135"/>
      </patternFill>
    </fill>
    <fill>
      <patternFill patternType="solid">
        <fgColor rgb="FFFFE598"/>
        <bgColor rgb="FFFFE598"/>
      </patternFill>
    </fill>
    <fill>
      <patternFill patternType="solid">
        <fgColor rgb="FFDADADA"/>
        <bgColor rgb="FFDADADA"/>
      </patternFill>
    </fill>
    <fill>
      <patternFill patternType="solid">
        <fgColor rgb="FFFFFF00"/>
        <bgColor rgb="FFFFFF00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D9E2F3"/>
        <bgColor rgb="FFD9E2F3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A8D08D"/>
        <bgColor rgb="FFA8D08D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</fills>
  <borders count="4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theme="1"/>
      </right>
      <top style="thin">
        <color rgb="FF000000"/>
      </top>
      <bottom style="thin">
        <color rgb="FF000000"/>
      </bottom>
      <diagonal/>
    </border>
    <border>
      <left style="thin">
        <color theme="1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3">
    <xf numFmtId="0" fontId="0" fillId="0" borderId="0" xfId="0" applyFont="1" applyAlignment="1"/>
    <xf numFmtId="0" fontId="2" fillId="0" borderId="0" xfId="0" applyFont="1" applyAlignment="1"/>
    <xf numFmtId="0" fontId="1" fillId="0" borderId="0" xfId="0" applyFont="1" applyAlignment="1">
      <alignment horizontal="center" vertical="center"/>
    </xf>
    <xf numFmtId="187" fontId="2" fillId="2" borderId="1" xfId="0" applyNumberFormat="1" applyFont="1" applyFill="1" applyBorder="1" applyAlignment="1">
      <alignment horizontal="center" vertical="center" wrapText="1"/>
    </xf>
    <xf numFmtId="188" fontId="2" fillId="3" borderId="2" xfId="0" applyNumberFormat="1" applyFont="1" applyFill="1" applyBorder="1" applyAlignment="1">
      <alignment vertical="center" wrapText="1"/>
    </xf>
    <xf numFmtId="187" fontId="2" fillId="3" borderId="3" xfId="0" applyNumberFormat="1" applyFont="1" applyFill="1" applyBorder="1" applyAlignment="1">
      <alignment vertical="center" wrapText="1"/>
    </xf>
    <xf numFmtId="187" fontId="2" fillId="4" borderId="1" xfId="0" applyNumberFormat="1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/>
    </xf>
    <xf numFmtId="188" fontId="1" fillId="6" borderId="1" xfId="0" applyNumberFormat="1" applyFont="1" applyFill="1" applyBorder="1" applyAlignment="1">
      <alignment horizontal="center" vertical="center"/>
    </xf>
    <xf numFmtId="187" fontId="1" fillId="2" borderId="1" xfId="0" applyNumberFormat="1" applyFont="1" applyFill="1" applyBorder="1" applyAlignment="1">
      <alignment horizontal="center" vertical="center" wrapText="1"/>
    </xf>
    <xf numFmtId="188" fontId="1" fillId="6" borderId="8" xfId="0" applyNumberFormat="1" applyFont="1" applyFill="1" applyBorder="1" applyAlignment="1">
      <alignment horizontal="center" vertical="center"/>
    </xf>
    <xf numFmtId="188" fontId="1" fillId="7" borderId="9" xfId="0" applyNumberFormat="1" applyFont="1" applyFill="1" applyBorder="1" applyAlignment="1">
      <alignment horizontal="center" vertical="center" wrapText="1"/>
    </xf>
    <xf numFmtId="188" fontId="1" fillId="4" borderId="10" xfId="0" applyNumberFormat="1" applyFont="1" applyFill="1" applyBorder="1" applyAlignment="1">
      <alignment horizontal="center" vertical="center"/>
    </xf>
    <xf numFmtId="188" fontId="1" fillId="7" borderId="11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>
      <alignment vertical="center"/>
    </xf>
    <xf numFmtId="189" fontId="1" fillId="8" borderId="12" xfId="0" applyNumberFormat="1" applyFont="1" applyFill="1" applyBorder="1" applyAlignment="1">
      <alignment vertical="center"/>
    </xf>
    <xf numFmtId="188" fontId="1" fillId="8" borderId="12" xfId="0" applyNumberFormat="1" applyFont="1" applyFill="1" applyBorder="1" applyAlignment="1">
      <alignment vertical="center"/>
    </xf>
    <xf numFmtId="188" fontId="1" fillId="8" borderId="13" xfId="0" applyNumberFormat="1" applyFont="1" applyFill="1" applyBorder="1" applyAlignment="1">
      <alignment horizontal="right" vertical="center" wrapText="1"/>
    </xf>
    <xf numFmtId="187" fontId="1" fillId="9" borderId="14" xfId="0" applyNumberFormat="1" applyFont="1" applyFill="1" applyBorder="1" applyAlignment="1">
      <alignment vertical="center"/>
    </xf>
    <xf numFmtId="187" fontId="1" fillId="9" borderId="15" xfId="0" applyNumberFormat="1" applyFont="1" applyFill="1" applyBorder="1" applyAlignment="1">
      <alignment vertical="center"/>
    </xf>
    <xf numFmtId="0" fontId="2" fillId="9" borderId="16" xfId="0" applyFont="1" applyFill="1" applyBorder="1" applyAlignment="1">
      <alignment vertical="center"/>
    </xf>
    <xf numFmtId="0" fontId="2" fillId="9" borderId="12" xfId="0" applyFont="1" applyFill="1" applyBorder="1" applyAlignment="1">
      <alignment horizontal="left" vertical="center"/>
    </xf>
    <xf numFmtId="189" fontId="2" fillId="9" borderId="12" xfId="0" applyNumberFormat="1" applyFont="1" applyFill="1" applyBorder="1" applyAlignment="1">
      <alignment horizontal="left" vertical="center"/>
    </xf>
    <xf numFmtId="188" fontId="2" fillId="9" borderId="12" xfId="0" applyNumberFormat="1" applyFont="1" applyFill="1" applyBorder="1" applyAlignment="1">
      <alignment horizontal="left" vertical="center"/>
    </xf>
    <xf numFmtId="188" fontId="2" fillId="9" borderId="12" xfId="0" applyNumberFormat="1" applyFont="1" applyFill="1" applyBorder="1" applyAlignment="1">
      <alignment vertical="center"/>
    </xf>
    <xf numFmtId="187" fontId="1" fillId="10" borderId="14" xfId="0" applyNumberFormat="1" applyFont="1" applyFill="1" applyBorder="1" applyAlignment="1">
      <alignment vertical="center"/>
    </xf>
    <xf numFmtId="0" fontId="1" fillId="10" borderId="15" xfId="0" applyFont="1" applyFill="1" applyBorder="1" applyAlignment="1">
      <alignment vertical="center"/>
    </xf>
    <xf numFmtId="187" fontId="1" fillId="10" borderId="15" xfId="0" applyNumberFormat="1" applyFont="1" applyFill="1" applyBorder="1" applyAlignment="1">
      <alignment vertical="center"/>
    </xf>
    <xf numFmtId="0" fontId="1" fillId="10" borderId="16" xfId="0" applyFont="1" applyFill="1" applyBorder="1" applyAlignment="1">
      <alignment vertical="center"/>
    </xf>
    <xf numFmtId="0" fontId="1" fillId="10" borderId="17" xfId="0" applyFont="1" applyFill="1" applyBorder="1" applyAlignment="1">
      <alignment horizontal="left" vertical="center"/>
    </xf>
    <xf numFmtId="189" fontId="1" fillId="10" borderId="17" xfId="0" applyNumberFormat="1" applyFont="1" applyFill="1" applyBorder="1" applyAlignment="1">
      <alignment horizontal="left" vertical="center"/>
    </xf>
    <xf numFmtId="188" fontId="1" fillId="10" borderId="17" xfId="0" applyNumberFormat="1" applyFont="1" applyFill="1" applyBorder="1" applyAlignment="1">
      <alignment horizontal="left" vertical="center"/>
    </xf>
    <xf numFmtId="188" fontId="1" fillId="10" borderId="17" xfId="0" applyNumberFormat="1" applyFont="1" applyFill="1" applyBorder="1" applyAlignment="1">
      <alignment horizontal="center" vertical="center"/>
    </xf>
    <xf numFmtId="188" fontId="2" fillId="10" borderId="17" xfId="0" applyNumberFormat="1" applyFont="1" applyFill="1" applyBorder="1" applyAlignment="1">
      <alignment vertical="center"/>
    </xf>
    <xf numFmtId="190" fontId="1" fillId="11" borderId="18" xfId="0" applyNumberFormat="1" applyFont="1" applyFill="1" applyBorder="1" applyAlignment="1">
      <alignment vertical="center"/>
    </xf>
    <xf numFmtId="0" fontId="1" fillId="11" borderId="19" xfId="0" applyFont="1" applyFill="1" applyBorder="1" applyAlignment="1">
      <alignment vertical="center"/>
    </xf>
    <xf numFmtId="187" fontId="1" fillId="11" borderId="19" xfId="0" applyNumberFormat="1" applyFont="1" applyFill="1" applyBorder="1" applyAlignment="1">
      <alignment vertical="center"/>
    </xf>
    <xf numFmtId="0" fontId="1" fillId="11" borderId="13" xfId="0" applyFont="1" applyFill="1" applyBorder="1" applyAlignment="1">
      <alignment horizontal="center" vertical="center" wrapText="1"/>
    </xf>
    <xf numFmtId="189" fontId="1" fillId="11" borderId="13" xfId="0" applyNumberFormat="1" applyFont="1" applyFill="1" applyBorder="1" applyAlignment="1">
      <alignment horizontal="right" vertical="center" wrapText="1"/>
    </xf>
    <xf numFmtId="188" fontId="1" fillId="11" borderId="13" xfId="0" applyNumberFormat="1" applyFont="1" applyFill="1" applyBorder="1" applyAlignment="1">
      <alignment horizontal="right" vertical="center" wrapText="1"/>
    </xf>
    <xf numFmtId="188" fontId="1" fillId="11" borderId="13" xfId="0" applyNumberFormat="1" applyFont="1" applyFill="1" applyBorder="1" applyAlignment="1">
      <alignment vertical="center"/>
    </xf>
    <xf numFmtId="190" fontId="1" fillId="3" borderId="18" xfId="0" applyNumberFormat="1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0" fontId="5" fillId="3" borderId="19" xfId="0" quotePrefix="1" applyFont="1" applyFill="1" applyBorder="1" applyAlignment="1">
      <alignment vertical="center"/>
    </xf>
    <xf numFmtId="0" fontId="2" fillId="3" borderId="19" xfId="0" applyFont="1" applyFill="1" applyBorder="1" applyAlignment="1">
      <alignment vertical="center"/>
    </xf>
    <xf numFmtId="0" fontId="2" fillId="3" borderId="20" xfId="0" applyFont="1" applyFill="1" applyBorder="1" applyAlignment="1">
      <alignment vertical="center"/>
    </xf>
    <xf numFmtId="187" fontId="2" fillId="0" borderId="13" xfId="0" applyNumberFormat="1" applyFont="1" applyBorder="1" applyAlignment="1">
      <alignment horizontal="center" vertical="center" wrapText="1"/>
    </xf>
    <xf numFmtId="189" fontId="2" fillId="0" borderId="13" xfId="0" applyNumberFormat="1" applyFont="1" applyBorder="1" applyAlignment="1">
      <alignment horizontal="right" vertical="center" wrapText="1"/>
    </xf>
    <xf numFmtId="188" fontId="2" fillId="0" borderId="13" xfId="0" applyNumberFormat="1" applyFont="1" applyBorder="1" applyAlignment="1">
      <alignment horizontal="right" vertical="center" wrapText="1"/>
    </xf>
    <xf numFmtId="188" fontId="1" fillId="3" borderId="13" xfId="0" applyNumberFormat="1" applyFont="1" applyFill="1" applyBorder="1" applyAlignment="1">
      <alignment vertical="center"/>
    </xf>
    <xf numFmtId="187" fontId="1" fillId="3" borderId="19" xfId="0" applyNumberFormat="1" applyFont="1" applyFill="1" applyBorder="1" applyAlignment="1">
      <alignment vertical="center"/>
    </xf>
    <xf numFmtId="0" fontId="2" fillId="3" borderId="20" xfId="0" applyFont="1" applyFill="1" applyBorder="1" applyAlignment="1">
      <alignment horizontal="left" vertical="center"/>
    </xf>
    <xf numFmtId="188" fontId="2" fillId="3" borderId="13" xfId="0" applyNumberFormat="1" applyFont="1" applyFill="1" applyBorder="1" applyAlignment="1">
      <alignment vertical="center"/>
    </xf>
    <xf numFmtId="188" fontId="2" fillId="4" borderId="13" xfId="0" applyNumberFormat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5" fillId="12" borderId="19" xfId="0" quotePrefix="1" applyFont="1" applyFill="1" applyBorder="1" applyAlignment="1">
      <alignment vertical="center"/>
    </xf>
    <xf numFmtId="0" fontId="2" fillId="12" borderId="19" xfId="0" applyFont="1" applyFill="1" applyBorder="1" applyAlignment="1">
      <alignment vertical="center"/>
    </xf>
    <xf numFmtId="0" fontId="2" fillId="12" borderId="20" xfId="0" applyFont="1" applyFill="1" applyBorder="1" applyAlignment="1">
      <alignment vertical="center"/>
    </xf>
    <xf numFmtId="0" fontId="2" fillId="0" borderId="13" xfId="0" applyFont="1" applyBorder="1" applyAlignment="1">
      <alignment horizontal="center" vertical="center" wrapText="1"/>
    </xf>
    <xf numFmtId="188" fontId="2" fillId="0" borderId="13" xfId="0" applyNumberFormat="1" applyFont="1" applyBorder="1" applyAlignment="1">
      <alignment vertical="center"/>
    </xf>
    <xf numFmtId="0" fontId="2" fillId="13" borderId="19" xfId="0" applyFont="1" applyFill="1" applyBorder="1" applyAlignment="1">
      <alignment horizontal="right" vertical="center"/>
    </xf>
    <xf numFmtId="0" fontId="2" fillId="13" borderId="19" xfId="0" quotePrefix="1" applyFont="1" applyFill="1" applyBorder="1" applyAlignment="1">
      <alignment vertical="center"/>
    </xf>
    <xf numFmtId="0" fontId="2" fillId="13" borderId="19" xfId="0" applyFont="1" applyFill="1" applyBorder="1" applyAlignment="1">
      <alignment vertical="center"/>
    </xf>
    <xf numFmtId="0" fontId="2" fillId="13" borderId="20" xfId="0" applyFont="1" applyFill="1" applyBorder="1" applyAlignment="1">
      <alignment vertical="center"/>
    </xf>
    <xf numFmtId="0" fontId="2" fillId="3" borderId="13" xfId="0" applyFont="1" applyFill="1" applyBorder="1" applyAlignment="1">
      <alignment horizontal="center" vertical="center" wrapText="1"/>
    </xf>
    <xf numFmtId="189" fontId="2" fillId="3" borderId="13" xfId="0" applyNumberFormat="1" applyFont="1" applyFill="1" applyBorder="1" applyAlignment="1">
      <alignment horizontal="right" vertical="center" wrapText="1"/>
    </xf>
    <xf numFmtId="189" fontId="2" fillId="2" borderId="13" xfId="0" applyNumberFormat="1" applyFont="1" applyFill="1" applyBorder="1" applyAlignment="1">
      <alignment horizontal="right" vertical="center" wrapText="1"/>
    </xf>
    <xf numFmtId="0" fontId="2" fillId="8" borderId="19" xfId="0" applyFont="1" applyFill="1" applyBorder="1" applyAlignment="1">
      <alignment horizontal="right" vertical="center"/>
    </xf>
    <xf numFmtId="0" fontId="2" fillId="8" borderId="19" xfId="0" quotePrefix="1" applyFont="1" applyFill="1" applyBorder="1" applyAlignment="1">
      <alignment vertical="center"/>
    </xf>
    <xf numFmtId="0" fontId="2" fillId="8" borderId="19" xfId="0" applyFont="1" applyFill="1" applyBorder="1" applyAlignment="1">
      <alignment vertical="center"/>
    </xf>
    <xf numFmtId="0" fontId="2" fillId="8" borderId="20" xfId="0" applyFont="1" applyFill="1" applyBorder="1" applyAlignment="1">
      <alignment vertical="center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quotePrefix="1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22" xfId="0" applyFont="1" applyBorder="1" applyAlignment="1">
      <alignment horizontal="right" vertical="center"/>
    </xf>
    <xf numFmtId="0" fontId="1" fillId="0" borderId="13" xfId="0" applyFont="1" applyBorder="1" applyAlignment="1">
      <alignment horizontal="center" vertical="center" wrapText="1"/>
    </xf>
    <xf numFmtId="189" fontId="1" fillId="3" borderId="13" xfId="0" applyNumberFormat="1" applyFont="1" applyFill="1" applyBorder="1" applyAlignment="1">
      <alignment horizontal="right" vertical="center" wrapText="1"/>
    </xf>
    <xf numFmtId="188" fontId="1" fillId="0" borderId="13" xfId="0" applyNumberFormat="1" applyFont="1" applyBorder="1" applyAlignment="1">
      <alignment horizontal="right" vertical="center" wrapText="1"/>
    </xf>
    <xf numFmtId="0" fontId="2" fillId="14" borderId="19" xfId="0" applyFont="1" applyFill="1" applyBorder="1" applyAlignment="1">
      <alignment horizontal="right" vertical="center"/>
    </xf>
    <xf numFmtId="0" fontId="2" fillId="14" borderId="19" xfId="0" quotePrefix="1" applyFont="1" applyFill="1" applyBorder="1" applyAlignment="1">
      <alignment vertical="center"/>
    </xf>
    <xf numFmtId="0" fontId="2" fillId="14" borderId="19" xfId="0" applyFont="1" applyFill="1" applyBorder="1" applyAlignment="1">
      <alignment vertical="center"/>
    </xf>
    <xf numFmtId="0" fontId="2" fillId="14" borderId="20" xfId="0" applyFont="1" applyFill="1" applyBorder="1" applyAlignment="1">
      <alignment vertical="center"/>
    </xf>
    <xf numFmtId="189" fontId="2" fillId="2" borderId="19" xfId="0" applyNumberFormat="1" applyFont="1" applyFill="1" applyBorder="1" applyAlignment="1">
      <alignment horizontal="right" vertical="center"/>
    </xf>
    <xf numFmtId="187" fontId="1" fillId="10" borderId="18" xfId="0" applyNumberFormat="1" applyFont="1" applyFill="1" applyBorder="1" applyAlignment="1">
      <alignment vertical="center"/>
    </xf>
    <xf numFmtId="0" fontId="1" fillId="10" borderId="19" xfId="0" applyFont="1" applyFill="1" applyBorder="1" applyAlignment="1">
      <alignment vertical="center" wrapText="1"/>
    </xf>
    <xf numFmtId="187" fontId="1" fillId="10" borderId="19" xfId="0" applyNumberFormat="1" applyFont="1" applyFill="1" applyBorder="1" applyAlignment="1">
      <alignment vertical="center" wrapText="1"/>
    </xf>
    <xf numFmtId="0" fontId="2" fillId="10" borderId="19" xfId="0" applyFont="1" applyFill="1" applyBorder="1" applyAlignment="1">
      <alignment vertical="center" wrapText="1"/>
    </xf>
    <xf numFmtId="0" fontId="2" fillId="10" borderId="20" xfId="0" applyFont="1" applyFill="1" applyBorder="1" applyAlignment="1">
      <alignment vertical="center" wrapText="1"/>
    </xf>
    <xf numFmtId="0" fontId="2" fillId="10" borderId="13" xfId="0" applyFont="1" applyFill="1" applyBorder="1" applyAlignment="1">
      <alignment horizontal="center" vertical="center" wrapText="1"/>
    </xf>
    <xf numFmtId="189" fontId="2" fillId="10" borderId="13" xfId="0" applyNumberFormat="1" applyFont="1" applyFill="1" applyBorder="1" applyAlignment="1">
      <alignment horizontal="right" vertical="center" wrapText="1"/>
    </xf>
    <xf numFmtId="188" fontId="2" fillId="10" borderId="13" xfId="0" applyNumberFormat="1" applyFont="1" applyFill="1" applyBorder="1" applyAlignment="1">
      <alignment horizontal="right" vertical="center" wrapText="1"/>
    </xf>
    <xf numFmtId="188" fontId="2" fillId="10" borderId="13" xfId="0" applyNumberFormat="1" applyFont="1" applyFill="1" applyBorder="1" applyAlignment="1">
      <alignment vertical="center" wrapText="1"/>
    </xf>
    <xf numFmtId="188" fontId="2" fillId="10" borderId="13" xfId="0" applyNumberFormat="1" applyFont="1" applyFill="1" applyBorder="1" applyAlignment="1">
      <alignment vertical="center"/>
    </xf>
    <xf numFmtId="0" fontId="1" fillId="11" borderId="20" xfId="0" applyFont="1" applyFill="1" applyBorder="1" applyAlignment="1">
      <alignment vertical="center"/>
    </xf>
    <xf numFmtId="188" fontId="1" fillId="11" borderId="13" xfId="0" applyNumberFormat="1" applyFont="1" applyFill="1" applyBorder="1" applyAlignment="1">
      <alignment vertical="center" wrapText="1"/>
    </xf>
    <xf numFmtId="0" fontId="2" fillId="0" borderId="23" xfId="0" quotePrefix="1" applyFont="1" applyBorder="1" applyAlignment="1">
      <alignment vertical="center" wrapText="1"/>
    </xf>
    <xf numFmtId="0" fontId="2" fillId="0" borderId="23" xfId="0" quotePrefix="1" applyFont="1" applyBorder="1" applyAlignment="1">
      <alignment vertical="center"/>
    </xf>
    <xf numFmtId="0" fontId="1" fillId="10" borderId="19" xfId="0" applyFont="1" applyFill="1" applyBorder="1" applyAlignment="1">
      <alignment vertical="center"/>
    </xf>
    <xf numFmtId="190" fontId="1" fillId="10" borderId="19" xfId="0" applyNumberFormat="1" applyFont="1" applyFill="1" applyBorder="1" applyAlignment="1">
      <alignment vertical="center"/>
    </xf>
    <xf numFmtId="0" fontId="2" fillId="10" borderId="19" xfId="0" applyFont="1" applyFill="1" applyBorder="1" applyAlignment="1">
      <alignment vertical="center"/>
    </xf>
    <xf numFmtId="0" fontId="2" fillId="10" borderId="20" xfId="0" applyFont="1" applyFill="1" applyBorder="1" applyAlignment="1">
      <alignment vertical="center"/>
    </xf>
    <xf numFmtId="190" fontId="1" fillId="11" borderId="19" xfId="0" applyNumberFormat="1" applyFont="1" applyFill="1" applyBorder="1" applyAlignment="1">
      <alignment vertical="center"/>
    </xf>
    <xf numFmtId="187" fontId="1" fillId="0" borderId="24" xfId="0" applyNumberFormat="1" applyFont="1" applyBorder="1" applyAlignment="1">
      <alignment vertical="center"/>
    </xf>
    <xf numFmtId="187" fontId="1" fillId="0" borderId="25" xfId="0" applyNumberFormat="1" applyFont="1" applyBorder="1" applyAlignment="1">
      <alignment vertical="center"/>
    </xf>
    <xf numFmtId="0" fontId="2" fillId="14" borderId="26" xfId="0" applyFont="1" applyFill="1" applyBorder="1" applyAlignment="1">
      <alignment horizontal="right" vertical="center"/>
    </xf>
    <xf numFmtId="0" fontId="2" fillId="14" borderId="26" xfId="0" quotePrefix="1" applyFont="1" applyFill="1" applyBorder="1" applyAlignment="1">
      <alignment vertical="center"/>
    </xf>
    <xf numFmtId="0" fontId="2" fillId="14" borderId="26" xfId="0" applyFont="1" applyFill="1" applyBorder="1" applyAlignment="1">
      <alignment vertical="center"/>
    </xf>
    <xf numFmtId="0" fontId="2" fillId="14" borderId="27" xfId="0" applyFont="1" applyFill="1" applyBorder="1" applyAlignment="1">
      <alignment vertical="center"/>
    </xf>
    <xf numFmtId="0" fontId="2" fillId="3" borderId="28" xfId="0" applyFont="1" applyFill="1" applyBorder="1" applyAlignment="1">
      <alignment horizontal="center" vertical="center" wrapText="1"/>
    </xf>
    <xf numFmtId="189" fontId="2" fillId="3" borderId="28" xfId="0" applyNumberFormat="1" applyFont="1" applyFill="1" applyBorder="1" applyAlignment="1">
      <alignment horizontal="right" vertical="center" wrapText="1"/>
    </xf>
    <xf numFmtId="189" fontId="2" fillId="2" borderId="26" xfId="0" applyNumberFormat="1" applyFont="1" applyFill="1" applyBorder="1" applyAlignment="1">
      <alignment horizontal="right" vertical="center"/>
    </xf>
    <xf numFmtId="188" fontId="2" fillId="0" borderId="28" xfId="0" applyNumberFormat="1" applyFont="1" applyBorder="1" applyAlignment="1">
      <alignment horizontal="right" vertical="center" wrapText="1"/>
    </xf>
    <xf numFmtId="188" fontId="2" fillId="0" borderId="28" xfId="0" applyNumberFormat="1" applyFont="1" applyBorder="1" applyAlignment="1">
      <alignment vertical="center"/>
    </xf>
    <xf numFmtId="187" fontId="1" fillId="14" borderId="29" xfId="0" applyNumberFormat="1" applyFont="1" applyFill="1" applyBorder="1" applyAlignment="1">
      <alignment vertical="center"/>
    </xf>
    <xf numFmtId="187" fontId="1" fillId="14" borderId="30" xfId="0" applyNumberFormat="1" applyFont="1" applyFill="1" applyBorder="1" applyAlignment="1">
      <alignment vertical="center"/>
    </xf>
    <xf numFmtId="0" fontId="2" fillId="14" borderId="30" xfId="0" applyFont="1" applyFill="1" applyBorder="1" applyAlignment="1">
      <alignment vertical="center"/>
    </xf>
    <xf numFmtId="0" fontId="2" fillId="14" borderId="31" xfId="0" applyFont="1" applyFill="1" applyBorder="1" applyAlignment="1">
      <alignment vertical="center"/>
    </xf>
    <xf numFmtId="0" fontId="2" fillId="14" borderId="32" xfId="0" applyFont="1" applyFill="1" applyBorder="1" applyAlignment="1">
      <alignment horizontal="left" vertical="center"/>
    </xf>
    <xf numFmtId="189" fontId="2" fillId="14" borderId="32" xfId="0" applyNumberFormat="1" applyFont="1" applyFill="1" applyBorder="1" applyAlignment="1">
      <alignment horizontal="left" vertical="center"/>
    </xf>
    <xf numFmtId="188" fontId="2" fillId="14" borderId="32" xfId="0" applyNumberFormat="1" applyFont="1" applyFill="1" applyBorder="1" applyAlignment="1">
      <alignment horizontal="left" vertical="center"/>
    </xf>
    <xf numFmtId="188" fontId="2" fillId="14" borderId="32" xfId="0" applyNumberFormat="1" applyFont="1" applyFill="1" applyBorder="1" applyAlignment="1">
      <alignment vertical="center"/>
    </xf>
    <xf numFmtId="187" fontId="1" fillId="15" borderId="18" xfId="0" applyNumberFormat="1" applyFont="1" applyFill="1" applyBorder="1" applyAlignment="1">
      <alignment vertical="center"/>
    </xf>
    <xf numFmtId="187" fontId="1" fillId="15" borderId="19" xfId="0" applyNumberFormat="1" applyFont="1" applyFill="1" applyBorder="1" applyAlignment="1">
      <alignment vertical="center"/>
    </xf>
    <xf numFmtId="0" fontId="1" fillId="15" borderId="19" xfId="0" applyFont="1" applyFill="1" applyBorder="1" applyAlignment="1">
      <alignment vertical="center"/>
    </xf>
    <xf numFmtId="0" fontId="1" fillId="15" borderId="20" xfId="0" applyFont="1" applyFill="1" applyBorder="1" applyAlignment="1">
      <alignment vertical="center"/>
    </xf>
    <xf numFmtId="0" fontId="1" fillId="15" borderId="13" xfId="0" applyFont="1" applyFill="1" applyBorder="1" applyAlignment="1">
      <alignment horizontal="center" vertical="center"/>
    </xf>
    <xf numFmtId="189" fontId="1" fillId="15" borderId="13" xfId="0" applyNumberFormat="1" applyFont="1" applyFill="1" applyBorder="1" applyAlignment="1">
      <alignment horizontal="center" vertical="center"/>
    </xf>
    <xf numFmtId="188" fontId="1" fillId="15" borderId="13" xfId="0" applyNumberFormat="1" applyFont="1" applyFill="1" applyBorder="1" applyAlignment="1">
      <alignment horizontal="center" vertical="center"/>
    </xf>
    <xf numFmtId="188" fontId="2" fillId="15" borderId="13" xfId="0" applyNumberFormat="1" applyFont="1" applyFill="1" applyBorder="1" applyAlignment="1">
      <alignment horizontal="right" vertical="center" wrapText="1"/>
    </xf>
    <xf numFmtId="187" fontId="1" fillId="12" borderId="18" xfId="0" applyNumberFormat="1" applyFont="1" applyFill="1" applyBorder="1" applyAlignment="1">
      <alignment vertical="center"/>
    </xf>
    <xf numFmtId="0" fontId="1" fillId="12" borderId="19" xfId="0" applyFont="1" applyFill="1" applyBorder="1" applyAlignment="1">
      <alignment vertical="center"/>
    </xf>
    <xf numFmtId="187" fontId="1" fillId="12" borderId="19" xfId="0" applyNumberFormat="1" applyFont="1" applyFill="1" applyBorder="1" applyAlignment="1">
      <alignment vertical="center"/>
    </xf>
    <xf numFmtId="0" fontId="1" fillId="12" borderId="20" xfId="0" applyFont="1" applyFill="1" applyBorder="1" applyAlignment="1">
      <alignment vertical="center"/>
    </xf>
    <xf numFmtId="0" fontId="1" fillId="12" borderId="13" xfId="0" applyFont="1" applyFill="1" applyBorder="1" applyAlignment="1">
      <alignment horizontal="center" vertical="center" wrapText="1"/>
    </xf>
    <xf numFmtId="189" fontId="1" fillId="12" borderId="13" xfId="0" applyNumberFormat="1" applyFont="1" applyFill="1" applyBorder="1" applyAlignment="1">
      <alignment horizontal="right" vertical="center" wrapText="1"/>
    </xf>
    <xf numFmtId="188" fontId="1" fillId="12" borderId="13" xfId="0" applyNumberFormat="1" applyFont="1" applyFill="1" applyBorder="1" applyAlignment="1">
      <alignment horizontal="right" vertical="center" wrapText="1"/>
    </xf>
    <xf numFmtId="188" fontId="1" fillId="12" borderId="13" xfId="0" applyNumberFormat="1" applyFont="1" applyFill="1" applyBorder="1" applyAlignment="1">
      <alignment vertical="center"/>
    </xf>
    <xf numFmtId="188" fontId="1" fillId="0" borderId="13" xfId="0" applyNumberFormat="1" applyFont="1" applyBorder="1" applyAlignment="1">
      <alignment vertical="center"/>
    </xf>
    <xf numFmtId="187" fontId="1" fillId="16" borderId="18" xfId="0" applyNumberFormat="1" applyFont="1" applyFill="1" applyBorder="1" applyAlignment="1">
      <alignment vertical="center"/>
    </xf>
    <xf numFmtId="187" fontId="1" fillId="16" borderId="19" xfId="0" applyNumberFormat="1" applyFont="1" applyFill="1" applyBorder="1" applyAlignment="1">
      <alignment vertical="center"/>
    </xf>
    <xf numFmtId="0" fontId="1" fillId="16" borderId="19" xfId="0" applyFont="1" applyFill="1" applyBorder="1" applyAlignment="1">
      <alignment vertical="center"/>
    </xf>
    <xf numFmtId="0" fontId="1" fillId="16" borderId="20" xfId="0" applyFont="1" applyFill="1" applyBorder="1" applyAlignment="1">
      <alignment vertical="center"/>
    </xf>
    <xf numFmtId="0" fontId="2" fillId="16" borderId="13" xfId="0" applyFont="1" applyFill="1" applyBorder="1" applyAlignment="1">
      <alignment horizontal="center" vertical="center" wrapText="1"/>
    </xf>
    <xf numFmtId="189" fontId="2" fillId="16" borderId="13" xfId="0" applyNumberFormat="1" applyFont="1" applyFill="1" applyBorder="1" applyAlignment="1">
      <alignment horizontal="right" vertical="center" wrapText="1"/>
    </xf>
    <xf numFmtId="188" fontId="2" fillId="16" borderId="13" xfId="0" applyNumberFormat="1" applyFont="1" applyFill="1" applyBorder="1" applyAlignment="1">
      <alignment horizontal="right" vertical="center" wrapText="1"/>
    </xf>
    <xf numFmtId="188" fontId="1" fillId="16" borderId="13" xfId="0" applyNumberFormat="1" applyFont="1" applyFill="1" applyBorder="1" applyAlignment="1">
      <alignment vertical="center"/>
    </xf>
    <xf numFmtId="0" fontId="1" fillId="16" borderId="13" xfId="0" applyFont="1" applyFill="1" applyBorder="1" applyAlignment="1">
      <alignment horizontal="center" vertical="center" shrinkToFit="1"/>
    </xf>
    <xf numFmtId="189" fontId="1" fillId="16" borderId="13" xfId="0" applyNumberFormat="1" applyFont="1" applyFill="1" applyBorder="1" applyAlignment="1">
      <alignment horizontal="right" vertical="center" wrapText="1"/>
    </xf>
    <xf numFmtId="188" fontId="1" fillId="16" borderId="13" xfId="0" applyNumberFormat="1" applyFont="1" applyFill="1" applyBorder="1" applyAlignment="1">
      <alignment horizontal="right" vertical="center" wrapText="1"/>
    </xf>
    <xf numFmtId="0" fontId="1" fillId="16" borderId="13" xfId="0" applyFont="1" applyFill="1" applyBorder="1" applyAlignment="1">
      <alignment horizontal="center" vertical="center" wrapText="1"/>
    </xf>
    <xf numFmtId="187" fontId="1" fillId="16" borderId="19" xfId="0" applyNumberFormat="1" applyFont="1" applyFill="1" applyBorder="1" applyAlignment="1">
      <alignment horizontal="left" vertical="center"/>
    </xf>
    <xf numFmtId="189" fontId="1" fillId="2" borderId="13" xfId="0" applyNumberFormat="1" applyFont="1" applyFill="1" applyBorder="1" applyAlignment="1">
      <alignment horizontal="right" vertical="center" wrapText="1"/>
    </xf>
    <xf numFmtId="0" fontId="1" fillId="0" borderId="22" xfId="0" applyFont="1" applyBorder="1" applyAlignment="1">
      <alignment vertical="center"/>
    </xf>
    <xf numFmtId="187" fontId="1" fillId="12" borderId="19" xfId="0" applyNumberFormat="1" applyFont="1" applyFill="1" applyBorder="1" applyAlignment="1">
      <alignment horizontal="left" vertical="center"/>
    </xf>
    <xf numFmtId="187" fontId="1" fillId="17" borderId="29" xfId="0" applyNumberFormat="1" applyFont="1" applyFill="1" applyBorder="1" applyAlignment="1">
      <alignment vertical="center"/>
    </xf>
    <xf numFmtId="187" fontId="1" fillId="17" borderId="30" xfId="0" applyNumberFormat="1" applyFont="1" applyFill="1" applyBorder="1" applyAlignment="1">
      <alignment vertical="center"/>
    </xf>
    <xf numFmtId="0" fontId="1" fillId="17" borderId="30" xfId="0" applyFont="1" applyFill="1" applyBorder="1" applyAlignment="1">
      <alignment vertical="center"/>
    </xf>
    <xf numFmtId="0" fontId="1" fillId="17" borderId="31" xfId="0" applyFont="1" applyFill="1" applyBorder="1" applyAlignment="1">
      <alignment vertical="center"/>
    </xf>
    <xf numFmtId="0" fontId="1" fillId="17" borderId="32" xfId="0" applyFont="1" applyFill="1" applyBorder="1" applyAlignment="1">
      <alignment horizontal="left" vertical="center"/>
    </xf>
    <xf numFmtId="189" fontId="1" fillId="17" borderId="32" xfId="0" applyNumberFormat="1" applyFont="1" applyFill="1" applyBorder="1" applyAlignment="1">
      <alignment horizontal="left" vertical="center"/>
    </xf>
    <xf numFmtId="188" fontId="1" fillId="17" borderId="32" xfId="0" applyNumberFormat="1" applyFont="1" applyFill="1" applyBorder="1" applyAlignment="1">
      <alignment horizontal="left" vertical="center"/>
    </xf>
    <xf numFmtId="188" fontId="1" fillId="17" borderId="32" xfId="0" applyNumberFormat="1" applyFont="1" applyFill="1" applyBorder="1" applyAlignment="1">
      <alignment vertical="center"/>
    </xf>
    <xf numFmtId="188" fontId="2" fillId="17" borderId="32" xfId="0" applyNumberFormat="1" applyFont="1" applyFill="1" applyBorder="1" applyAlignment="1">
      <alignment vertical="center"/>
    </xf>
    <xf numFmtId="187" fontId="1" fillId="18" borderId="18" xfId="0" applyNumberFormat="1" applyFont="1" applyFill="1" applyBorder="1" applyAlignment="1">
      <alignment vertical="center"/>
    </xf>
    <xf numFmtId="187" fontId="1" fillId="18" borderId="19" xfId="0" applyNumberFormat="1" applyFont="1" applyFill="1" applyBorder="1" applyAlignment="1">
      <alignment vertical="center"/>
    </xf>
    <xf numFmtId="0" fontId="1" fillId="18" borderId="19" xfId="0" applyFont="1" applyFill="1" applyBorder="1" applyAlignment="1">
      <alignment vertical="center"/>
    </xf>
    <xf numFmtId="0" fontId="1" fillId="18" borderId="20" xfId="0" applyFont="1" applyFill="1" applyBorder="1" applyAlignment="1">
      <alignment vertical="center"/>
    </xf>
    <xf numFmtId="0" fontId="1" fillId="18" borderId="13" xfId="0" applyFont="1" applyFill="1" applyBorder="1" applyAlignment="1">
      <alignment horizontal="center" vertical="center"/>
    </xf>
    <xf numFmtId="189" fontId="1" fillId="18" borderId="13" xfId="0" applyNumberFormat="1" applyFont="1" applyFill="1" applyBorder="1" applyAlignment="1">
      <alignment vertical="center"/>
    </xf>
    <xf numFmtId="188" fontId="1" fillId="18" borderId="13" xfId="0" applyNumberFormat="1" applyFont="1" applyFill="1" applyBorder="1" applyAlignment="1">
      <alignment vertical="center"/>
    </xf>
    <xf numFmtId="188" fontId="2" fillId="18" borderId="13" xfId="0" applyNumberFormat="1" applyFont="1" applyFill="1" applyBorder="1" applyAlignment="1">
      <alignment horizontal="right" vertical="center" wrapText="1"/>
    </xf>
    <xf numFmtId="187" fontId="1" fillId="19" borderId="18" xfId="0" applyNumberFormat="1" applyFont="1" applyFill="1" applyBorder="1" applyAlignment="1">
      <alignment vertical="center"/>
    </xf>
    <xf numFmtId="0" fontId="1" fillId="19" borderId="19" xfId="0" applyFont="1" applyFill="1" applyBorder="1" applyAlignment="1">
      <alignment vertical="center"/>
    </xf>
    <xf numFmtId="0" fontId="1" fillId="19" borderId="20" xfId="0" applyFont="1" applyFill="1" applyBorder="1" applyAlignment="1">
      <alignment vertical="center"/>
    </xf>
    <xf numFmtId="0" fontId="1" fillId="19" borderId="13" xfId="0" applyFont="1" applyFill="1" applyBorder="1" applyAlignment="1">
      <alignment horizontal="center" vertical="center" wrapText="1"/>
    </xf>
    <xf numFmtId="189" fontId="1" fillId="19" borderId="13" xfId="0" applyNumberFormat="1" applyFont="1" applyFill="1" applyBorder="1" applyAlignment="1">
      <alignment horizontal="right" vertical="center" wrapText="1"/>
    </xf>
    <xf numFmtId="188" fontId="1" fillId="19" borderId="13" xfId="0" applyNumberFormat="1" applyFont="1" applyFill="1" applyBorder="1" applyAlignment="1">
      <alignment horizontal="right" vertical="center" wrapText="1"/>
    </xf>
    <xf numFmtId="188" fontId="1" fillId="19" borderId="13" xfId="0" applyNumberFormat="1" applyFont="1" applyFill="1" applyBorder="1" applyAlignment="1">
      <alignment vertical="center"/>
    </xf>
    <xf numFmtId="187" fontId="1" fillId="18" borderId="20" xfId="0" applyNumberFormat="1" applyFont="1" applyFill="1" applyBorder="1" applyAlignment="1">
      <alignment vertical="center"/>
    </xf>
    <xf numFmtId="0" fontId="1" fillId="18" borderId="13" xfId="0" applyFont="1" applyFill="1" applyBorder="1" applyAlignment="1">
      <alignment horizontal="left" vertical="center"/>
    </xf>
    <xf numFmtId="189" fontId="1" fillId="18" borderId="13" xfId="0" applyNumberFormat="1" applyFont="1" applyFill="1" applyBorder="1" applyAlignment="1">
      <alignment horizontal="right" vertical="center"/>
    </xf>
    <xf numFmtId="188" fontId="1" fillId="18" borderId="13" xfId="0" applyNumberFormat="1" applyFont="1" applyFill="1" applyBorder="1" applyAlignment="1">
      <alignment horizontal="right" vertical="center"/>
    </xf>
    <xf numFmtId="190" fontId="1" fillId="19" borderId="18" xfId="0" applyNumberFormat="1" applyFont="1" applyFill="1" applyBorder="1" applyAlignment="1">
      <alignment vertical="center"/>
    </xf>
    <xf numFmtId="190" fontId="1" fillId="19" borderId="19" xfId="0" applyNumberFormat="1" applyFont="1" applyFill="1" applyBorder="1" applyAlignment="1">
      <alignment vertical="center"/>
    </xf>
    <xf numFmtId="187" fontId="1" fillId="19" borderId="19" xfId="0" applyNumberFormat="1" applyFont="1" applyFill="1" applyBorder="1" applyAlignment="1">
      <alignment vertical="center"/>
    </xf>
    <xf numFmtId="189" fontId="2" fillId="2" borderId="20" xfId="0" applyNumberFormat="1" applyFont="1" applyFill="1" applyBorder="1" applyAlignment="1">
      <alignment horizontal="right" vertical="center"/>
    </xf>
    <xf numFmtId="190" fontId="1" fillId="19" borderId="33" xfId="0" applyNumberFormat="1" applyFont="1" applyFill="1" applyBorder="1" applyAlignment="1">
      <alignment vertical="center"/>
    </xf>
    <xf numFmtId="0" fontId="1" fillId="19" borderId="34" xfId="0" applyFont="1" applyFill="1" applyBorder="1" applyAlignment="1">
      <alignment vertical="center"/>
    </xf>
    <xf numFmtId="190" fontId="1" fillId="19" borderId="34" xfId="0" applyNumberFormat="1" applyFont="1" applyFill="1" applyBorder="1" applyAlignment="1">
      <alignment vertical="center"/>
    </xf>
    <xf numFmtId="187" fontId="1" fillId="19" borderId="34" xfId="0" applyNumberFormat="1" applyFont="1" applyFill="1" applyBorder="1" applyAlignment="1">
      <alignment vertical="center"/>
    </xf>
    <xf numFmtId="0" fontId="1" fillId="19" borderId="35" xfId="0" applyFont="1" applyFill="1" applyBorder="1" applyAlignment="1">
      <alignment vertical="center"/>
    </xf>
    <xf numFmtId="0" fontId="1" fillId="19" borderId="36" xfId="0" applyFont="1" applyFill="1" applyBorder="1" applyAlignment="1">
      <alignment horizontal="center" vertical="center" wrapText="1"/>
    </xf>
    <xf numFmtId="189" fontId="1" fillId="19" borderId="36" xfId="0" applyNumberFormat="1" applyFont="1" applyFill="1" applyBorder="1" applyAlignment="1">
      <alignment horizontal="right" vertical="center" wrapText="1"/>
    </xf>
    <xf numFmtId="188" fontId="1" fillId="19" borderId="36" xfId="0" applyNumberFormat="1" applyFont="1" applyFill="1" applyBorder="1" applyAlignment="1">
      <alignment horizontal="right" vertical="center" wrapText="1"/>
    </xf>
    <xf numFmtId="188" fontId="1" fillId="19" borderId="36" xfId="0" applyNumberFormat="1" applyFont="1" applyFill="1" applyBorder="1" applyAlignment="1">
      <alignment vertical="center"/>
    </xf>
    <xf numFmtId="189" fontId="1" fillId="19" borderId="13" xfId="0" applyNumberFormat="1" applyFont="1" applyFill="1" applyBorder="1" applyAlignment="1">
      <alignment horizontal="center" vertical="center"/>
    </xf>
    <xf numFmtId="0" fontId="5" fillId="0" borderId="22" xfId="0" applyFont="1" applyBorder="1" applyAlignment="1">
      <alignment vertical="center"/>
    </xf>
    <xf numFmtId="189" fontId="2" fillId="3" borderId="13" xfId="0" applyNumberFormat="1" applyFont="1" applyFill="1" applyBorder="1" applyAlignment="1">
      <alignment horizontal="center" vertical="center"/>
    </xf>
    <xf numFmtId="188" fontId="2" fillId="3" borderId="13" xfId="0" applyNumberFormat="1" applyFont="1" applyFill="1" applyBorder="1" applyAlignment="1">
      <alignment horizontal="center" vertical="center"/>
    </xf>
    <xf numFmtId="188" fontId="2" fillId="0" borderId="13" xfId="0" applyNumberFormat="1" applyFont="1" applyBorder="1" applyAlignment="1">
      <alignment horizontal="left" vertical="center" shrinkToFit="1"/>
    </xf>
    <xf numFmtId="0" fontId="1" fillId="0" borderId="25" xfId="0" applyFont="1" applyBorder="1" applyAlignment="1">
      <alignment vertical="center"/>
    </xf>
    <xf numFmtId="0" fontId="2" fillId="0" borderId="25" xfId="0" applyFont="1" applyBorder="1" applyAlignment="1">
      <alignment vertical="center"/>
    </xf>
    <xf numFmtId="0" fontId="2" fillId="0" borderId="37" xfId="0" applyFont="1" applyBorder="1" applyAlignment="1">
      <alignment vertical="center"/>
    </xf>
    <xf numFmtId="0" fontId="2" fillId="0" borderId="28" xfId="0" applyFont="1" applyBorder="1" applyAlignment="1">
      <alignment horizontal="center" vertical="center" wrapText="1"/>
    </xf>
    <xf numFmtId="189" fontId="2" fillId="3" borderId="28" xfId="0" applyNumberFormat="1" applyFont="1" applyFill="1" applyBorder="1" applyAlignment="1">
      <alignment horizontal="center" vertical="center"/>
    </xf>
    <xf numFmtId="188" fontId="2" fillId="0" borderId="28" xfId="0" applyNumberFormat="1" applyFont="1" applyBorder="1" applyAlignment="1">
      <alignment horizontal="left" vertical="center" shrinkToFit="1"/>
    </xf>
    <xf numFmtId="0" fontId="1" fillId="20" borderId="29" xfId="0" applyFont="1" applyFill="1" applyBorder="1" applyAlignment="1">
      <alignment vertical="center"/>
    </xf>
    <xf numFmtId="0" fontId="1" fillId="20" borderId="30" xfId="0" applyFont="1" applyFill="1" applyBorder="1" applyAlignment="1">
      <alignment vertical="center"/>
    </xf>
    <xf numFmtId="0" fontId="1" fillId="20" borderId="31" xfId="0" applyFont="1" applyFill="1" applyBorder="1" applyAlignment="1">
      <alignment vertical="center"/>
    </xf>
    <xf numFmtId="0" fontId="1" fillId="20" borderId="32" xfId="0" applyFont="1" applyFill="1" applyBorder="1" applyAlignment="1">
      <alignment vertical="center"/>
    </xf>
    <xf numFmtId="189" fontId="1" fillId="20" borderId="32" xfId="0" applyNumberFormat="1" applyFont="1" applyFill="1" applyBorder="1" applyAlignment="1">
      <alignment vertical="center"/>
    </xf>
    <xf numFmtId="188" fontId="1" fillId="20" borderId="32" xfId="0" applyNumberFormat="1" applyFont="1" applyFill="1" applyBorder="1" applyAlignment="1">
      <alignment vertical="center"/>
    </xf>
    <xf numFmtId="0" fontId="1" fillId="21" borderId="18" xfId="0" applyFont="1" applyFill="1" applyBorder="1" applyAlignment="1">
      <alignment vertical="center"/>
    </xf>
    <xf numFmtId="0" fontId="1" fillId="21" borderId="19" xfId="0" applyFont="1" applyFill="1" applyBorder="1" applyAlignment="1">
      <alignment vertical="center"/>
    </xf>
    <xf numFmtId="0" fontId="1" fillId="21" borderId="20" xfId="0" applyFont="1" applyFill="1" applyBorder="1" applyAlignment="1">
      <alignment vertical="center"/>
    </xf>
    <xf numFmtId="0" fontId="1" fillId="21" borderId="13" xfId="0" applyFont="1" applyFill="1" applyBorder="1" applyAlignment="1">
      <alignment horizontal="left" vertical="center"/>
    </xf>
    <xf numFmtId="189" fontId="1" fillId="21" borderId="13" xfId="0" applyNumberFormat="1" applyFont="1" applyFill="1" applyBorder="1" applyAlignment="1">
      <alignment horizontal="left" vertical="center"/>
    </xf>
    <xf numFmtId="188" fontId="1" fillId="21" borderId="13" xfId="0" applyNumberFormat="1" applyFont="1" applyFill="1" applyBorder="1" applyAlignment="1">
      <alignment horizontal="left" vertical="center"/>
    </xf>
    <xf numFmtId="188" fontId="1" fillId="21" borderId="13" xfId="0" applyNumberFormat="1" applyFont="1" applyFill="1" applyBorder="1" applyAlignment="1">
      <alignment vertical="center"/>
    </xf>
    <xf numFmtId="0" fontId="1" fillId="22" borderId="18" xfId="0" applyFont="1" applyFill="1" applyBorder="1" applyAlignment="1">
      <alignment vertical="center"/>
    </xf>
    <xf numFmtId="187" fontId="1" fillId="22" borderId="19" xfId="0" applyNumberFormat="1" applyFont="1" applyFill="1" applyBorder="1" applyAlignment="1">
      <alignment vertical="center"/>
    </xf>
    <xf numFmtId="0" fontId="1" fillId="22" borderId="19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22" borderId="13" xfId="0" applyFont="1" applyFill="1" applyBorder="1" applyAlignment="1">
      <alignment horizontal="center" vertical="center"/>
    </xf>
    <xf numFmtId="189" fontId="1" fillId="22" borderId="13" xfId="0" applyNumberFormat="1" applyFont="1" applyFill="1" applyBorder="1" applyAlignment="1">
      <alignment horizontal="center" vertical="center"/>
    </xf>
    <xf numFmtId="188" fontId="1" fillId="22" borderId="13" xfId="0" applyNumberFormat="1" applyFont="1" applyFill="1" applyBorder="1" applyAlignment="1">
      <alignment horizontal="right" vertical="center" wrapText="1"/>
    </xf>
    <xf numFmtId="188" fontId="1" fillId="22" borderId="13" xfId="0" applyNumberFormat="1" applyFont="1" applyFill="1" applyBorder="1" applyAlignment="1">
      <alignment vertical="center"/>
    </xf>
    <xf numFmtId="187" fontId="1" fillId="3" borderId="21" xfId="0" applyNumberFormat="1" applyFont="1" applyFill="1" applyBorder="1" applyAlignment="1">
      <alignment vertical="center"/>
    </xf>
    <xf numFmtId="187" fontId="1" fillId="3" borderId="22" xfId="0" applyNumberFormat="1" applyFont="1" applyFill="1" applyBorder="1" applyAlignment="1">
      <alignment vertical="center"/>
    </xf>
    <xf numFmtId="0" fontId="5" fillId="3" borderId="19" xfId="0" applyFont="1" applyFill="1" applyBorder="1" applyAlignment="1">
      <alignment vertical="center"/>
    </xf>
    <xf numFmtId="188" fontId="2" fillId="3" borderId="13" xfId="0" applyNumberFormat="1" applyFont="1" applyFill="1" applyBorder="1" applyAlignment="1">
      <alignment horizontal="right" vertical="center" wrapText="1"/>
    </xf>
    <xf numFmtId="0" fontId="2" fillId="3" borderId="23" xfId="0" quotePrefix="1" applyFont="1" applyFill="1" applyBorder="1" applyAlignment="1">
      <alignment vertical="center"/>
    </xf>
    <xf numFmtId="0" fontId="2" fillId="22" borderId="19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1" fillId="22" borderId="22" xfId="0" applyFont="1" applyFill="1" applyBorder="1" applyAlignment="1">
      <alignment vertical="center"/>
    </xf>
    <xf numFmtId="0" fontId="2" fillId="22" borderId="22" xfId="0" applyFont="1" applyFill="1" applyBorder="1" applyAlignment="1">
      <alignment vertical="center"/>
    </xf>
    <xf numFmtId="0" fontId="2" fillId="22" borderId="23" xfId="0" applyFont="1" applyFill="1" applyBorder="1" applyAlignment="1">
      <alignment vertical="center"/>
    </xf>
    <xf numFmtId="0" fontId="1" fillId="22" borderId="23" xfId="0" applyFont="1" applyFill="1" applyBorder="1" applyAlignment="1">
      <alignment vertical="center"/>
    </xf>
    <xf numFmtId="0" fontId="1" fillId="0" borderId="23" xfId="0" applyFont="1" applyBorder="1" applyAlignment="1">
      <alignment vertical="center"/>
    </xf>
    <xf numFmtId="0" fontId="1" fillId="3" borderId="13" xfId="0" applyFont="1" applyFill="1" applyBorder="1" applyAlignment="1">
      <alignment horizontal="center" vertical="center" wrapText="1"/>
    </xf>
    <xf numFmtId="0" fontId="2" fillId="0" borderId="22" xfId="0" quotePrefix="1" applyFont="1" applyBorder="1" applyAlignment="1">
      <alignment horizontal="left" vertical="center"/>
    </xf>
    <xf numFmtId="189" fontId="1" fillId="3" borderId="13" xfId="0" applyNumberFormat="1" applyFont="1" applyFill="1" applyBorder="1" applyAlignment="1">
      <alignment horizontal="center" vertical="center"/>
    </xf>
    <xf numFmtId="187" fontId="1" fillId="0" borderId="25" xfId="0" applyNumberFormat="1" applyFont="1" applyBorder="1" applyAlignment="1">
      <alignment horizontal="left" vertical="center"/>
    </xf>
    <xf numFmtId="0" fontId="2" fillId="0" borderId="25" xfId="0" applyFont="1" applyBorder="1" applyAlignment="1">
      <alignment horizontal="right" vertical="center"/>
    </xf>
    <xf numFmtId="0" fontId="2" fillId="0" borderId="37" xfId="0" quotePrefix="1" applyFont="1" applyBorder="1" applyAlignment="1">
      <alignment vertical="center"/>
    </xf>
    <xf numFmtId="189" fontId="2" fillId="2" borderId="28" xfId="0" applyNumberFormat="1" applyFont="1" applyFill="1" applyBorder="1" applyAlignment="1">
      <alignment horizontal="right" vertical="center" wrapText="1"/>
    </xf>
    <xf numFmtId="189" fontId="2" fillId="0" borderId="13" xfId="0" applyNumberFormat="1" applyFont="1" applyBorder="1" applyAlignment="1">
      <alignment horizontal="center"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1" fillId="22" borderId="33" xfId="0" applyFont="1" applyFill="1" applyBorder="1" applyAlignment="1">
      <alignment vertical="center"/>
    </xf>
    <xf numFmtId="187" fontId="1" fillId="22" borderId="34" xfId="0" applyNumberFormat="1" applyFont="1" applyFill="1" applyBorder="1" applyAlignment="1">
      <alignment vertical="center"/>
    </xf>
    <xf numFmtId="0" fontId="1" fillId="22" borderId="34" xfId="0" applyFont="1" applyFill="1" applyBorder="1" applyAlignment="1">
      <alignment vertical="center"/>
    </xf>
    <xf numFmtId="0" fontId="1" fillId="22" borderId="35" xfId="0" applyFont="1" applyFill="1" applyBorder="1" applyAlignment="1">
      <alignment vertical="center"/>
    </xf>
    <xf numFmtId="0" fontId="1" fillId="22" borderId="36" xfId="0" applyFont="1" applyFill="1" applyBorder="1" applyAlignment="1">
      <alignment horizontal="center" vertical="center"/>
    </xf>
    <xf numFmtId="189" fontId="1" fillId="22" borderId="36" xfId="0" applyNumberFormat="1" applyFont="1" applyFill="1" applyBorder="1" applyAlignment="1">
      <alignment horizontal="center" vertical="center"/>
    </xf>
    <xf numFmtId="188" fontId="1" fillId="22" borderId="36" xfId="0" applyNumberFormat="1" applyFont="1" applyFill="1" applyBorder="1" applyAlignment="1">
      <alignment horizontal="right" vertical="center" wrapText="1"/>
    </xf>
    <xf numFmtId="188" fontId="1" fillId="22" borderId="36" xfId="0" applyNumberFormat="1" applyFont="1" applyFill="1" applyBorder="1" applyAlignment="1">
      <alignment vertical="center"/>
    </xf>
    <xf numFmtId="0" fontId="1" fillId="0" borderId="22" xfId="0" quotePrefix="1" applyFont="1" applyBorder="1" applyAlignment="1">
      <alignment vertical="center"/>
    </xf>
    <xf numFmtId="187" fontId="1" fillId="12" borderId="22" xfId="0" applyNumberFormat="1" applyFont="1" applyFill="1" applyBorder="1" applyAlignment="1">
      <alignment horizontal="left" vertical="center"/>
    </xf>
    <xf numFmtId="0" fontId="1" fillId="12" borderId="22" xfId="0" applyFont="1" applyFill="1" applyBorder="1" applyAlignment="1">
      <alignment vertical="center"/>
    </xf>
    <xf numFmtId="0" fontId="1" fillId="12" borderId="23" xfId="0" applyFont="1" applyFill="1" applyBorder="1" applyAlignment="1">
      <alignment vertical="center"/>
    </xf>
    <xf numFmtId="0" fontId="1" fillId="0" borderId="21" xfId="0" applyFont="1" applyBorder="1" applyAlignment="1">
      <alignment horizontal="center" vertical="center"/>
    </xf>
    <xf numFmtId="189" fontId="1" fillId="0" borderId="13" xfId="0" applyNumberFormat="1" applyFont="1" applyBorder="1" applyAlignment="1">
      <alignment horizontal="right" vertical="center" wrapText="1"/>
    </xf>
    <xf numFmtId="0" fontId="2" fillId="0" borderId="23" xfId="0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7" fontId="2" fillId="0" borderId="38" xfId="0" applyNumberFormat="1" applyFont="1" applyBorder="1" applyAlignment="1">
      <alignment vertical="center"/>
    </xf>
    <xf numFmtId="187" fontId="2" fillId="0" borderId="39" xfId="0" applyNumberFormat="1" applyFont="1" applyBorder="1" applyAlignment="1">
      <alignment vertical="center"/>
    </xf>
    <xf numFmtId="187" fontId="2" fillId="0" borderId="39" xfId="0" applyNumberFormat="1" applyFont="1" applyBorder="1" applyAlignment="1">
      <alignment horizontal="left" vertical="center"/>
    </xf>
    <xf numFmtId="187" fontId="1" fillId="0" borderId="39" xfId="0" applyNumberFormat="1" applyFont="1" applyBorder="1" applyAlignment="1">
      <alignment horizontal="left" vertical="center"/>
    </xf>
    <xf numFmtId="0" fontId="2" fillId="0" borderId="39" xfId="0" applyFont="1" applyBorder="1" applyAlignment="1">
      <alignment vertical="center"/>
    </xf>
    <xf numFmtId="0" fontId="2" fillId="0" borderId="40" xfId="0" applyFont="1" applyBorder="1" applyAlignment="1">
      <alignment vertical="center"/>
    </xf>
    <xf numFmtId="0" fontId="1" fillId="0" borderId="38" xfId="0" applyFont="1" applyBorder="1" applyAlignment="1">
      <alignment horizontal="center" vertical="center"/>
    </xf>
    <xf numFmtId="188" fontId="2" fillId="0" borderId="41" xfId="0" applyNumberFormat="1" applyFont="1" applyBorder="1" applyAlignment="1">
      <alignment vertical="center"/>
    </xf>
    <xf numFmtId="187" fontId="2" fillId="0" borderId="24" xfId="0" applyNumberFormat="1" applyFont="1" applyBorder="1" applyAlignment="1">
      <alignment vertical="center"/>
    </xf>
    <xf numFmtId="187" fontId="2" fillId="0" borderId="25" xfId="0" applyNumberFormat="1" applyFont="1" applyBorder="1" applyAlignment="1">
      <alignment vertical="center"/>
    </xf>
    <xf numFmtId="187" fontId="2" fillId="0" borderId="25" xfId="0" applyNumberFormat="1" applyFont="1" applyBorder="1" applyAlignment="1">
      <alignment horizontal="left" vertical="center"/>
    </xf>
    <xf numFmtId="0" fontId="2" fillId="0" borderId="24" xfId="0" applyFont="1" applyBorder="1" applyAlignment="1">
      <alignment horizontal="center" vertical="center"/>
    </xf>
    <xf numFmtId="187" fontId="1" fillId="0" borderId="19" xfId="0" applyNumberFormat="1" applyFont="1" applyBorder="1" applyAlignment="1">
      <alignment horizontal="left" vertical="center"/>
    </xf>
    <xf numFmtId="0" fontId="1" fillId="0" borderId="19" xfId="0" applyFont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0" borderId="18" xfId="0" applyFont="1" applyBorder="1" applyAlignment="1">
      <alignment horizontal="center" vertical="center"/>
    </xf>
    <xf numFmtId="188" fontId="1" fillId="3" borderId="13" xfId="0" applyNumberFormat="1" applyFont="1" applyFill="1" applyBorder="1" applyAlignment="1">
      <alignment horizontal="right" vertical="center" wrapText="1"/>
    </xf>
    <xf numFmtId="0" fontId="7" fillId="0" borderId="22" xfId="0" applyFont="1" applyBorder="1" applyAlignment="1">
      <alignment vertical="center"/>
    </xf>
    <xf numFmtId="0" fontId="2" fillId="12" borderId="22" xfId="0" applyFont="1" applyFill="1" applyBorder="1" applyAlignment="1">
      <alignment vertical="center"/>
    </xf>
    <xf numFmtId="0" fontId="2" fillId="12" borderId="23" xfId="0" applyFont="1" applyFill="1" applyBorder="1" applyAlignment="1">
      <alignment vertical="center"/>
    </xf>
    <xf numFmtId="0" fontId="2" fillId="12" borderId="21" xfId="0" applyFont="1" applyFill="1" applyBorder="1" applyAlignment="1">
      <alignment horizontal="center" vertical="center"/>
    </xf>
    <xf numFmtId="187" fontId="1" fillId="16" borderId="22" xfId="0" applyNumberFormat="1" applyFont="1" applyFill="1" applyBorder="1" applyAlignment="1">
      <alignment horizontal="left" vertical="center"/>
    </xf>
    <xf numFmtId="0" fontId="2" fillId="16" borderId="22" xfId="0" applyFont="1" applyFill="1" applyBorder="1" applyAlignment="1">
      <alignment vertical="center"/>
    </xf>
    <xf numFmtId="0" fontId="2" fillId="16" borderId="23" xfId="0" applyFont="1" applyFill="1" applyBorder="1" applyAlignment="1">
      <alignment vertical="center"/>
    </xf>
    <xf numFmtId="0" fontId="2" fillId="16" borderId="21" xfId="0" applyFont="1" applyFill="1" applyBorder="1" applyAlignment="1">
      <alignment horizontal="center" vertical="center"/>
    </xf>
    <xf numFmtId="187" fontId="1" fillId="0" borderId="42" xfId="0" applyNumberFormat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3" xfId="0" applyNumberFormat="1" applyFont="1" applyBorder="1" applyAlignment="1">
      <alignment horizontal="left" vertical="center"/>
    </xf>
    <xf numFmtId="0" fontId="2" fillId="0" borderId="43" xfId="0" applyFont="1" applyBorder="1" applyAlignment="1">
      <alignment vertical="center"/>
    </xf>
    <xf numFmtId="0" fontId="2" fillId="0" borderId="44" xfId="0" applyFont="1" applyBorder="1" applyAlignment="1">
      <alignment vertical="center"/>
    </xf>
    <xf numFmtId="0" fontId="2" fillId="0" borderId="42" xfId="0" applyFont="1" applyBorder="1" applyAlignment="1">
      <alignment horizontal="center" vertical="center"/>
    </xf>
    <xf numFmtId="189" fontId="2" fillId="0" borderId="28" xfId="0" applyNumberFormat="1" applyFont="1" applyBorder="1" applyAlignment="1">
      <alignment horizontal="right" vertical="center" wrapText="1"/>
    </xf>
    <xf numFmtId="189" fontId="2" fillId="2" borderId="45" xfId="0" applyNumberFormat="1" applyFont="1" applyFill="1" applyBorder="1" applyAlignment="1">
      <alignment horizontal="right" vertical="center" wrapText="1"/>
    </xf>
    <xf numFmtId="188" fontId="2" fillId="0" borderId="45" xfId="0" applyNumberFormat="1" applyFont="1" applyBorder="1" applyAlignment="1">
      <alignment horizontal="right" vertical="center" wrapText="1"/>
    </xf>
    <xf numFmtId="188" fontId="2" fillId="0" borderId="45" xfId="0" applyNumberFormat="1" applyFont="1" applyBorder="1" applyAlignment="1">
      <alignment vertical="center"/>
    </xf>
    <xf numFmtId="189" fontId="1" fillId="22" borderId="17" xfId="0" applyNumberFormat="1" applyFont="1" applyFill="1" applyBorder="1" applyAlignment="1">
      <alignment horizontal="center" vertical="center"/>
    </xf>
    <xf numFmtId="188" fontId="1" fillId="22" borderId="17" xfId="0" applyNumberFormat="1" applyFont="1" applyFill="1" applyBorder="1" applyAlignment="1">
      <alignment horizontal="right" vertical="center" wrapText="1"/>
    </xf>
    <xf numFmtId="0" fontId="2" fillId="14" borderId="46" xfId="0" applyFont="1" applyFill="1" applyBorder="1" applyAlignment="1">
      <alignment horizontal="right" vertical="center"/>
    </xf>
    <xf numFmtId="0" fontId="2" fillId="14" borderId="46" xfId="0" quotePrefix="1" applyFont="1" applyFill="1" applyBorder="1" applyAlignment="1">
      <alignment vertical="center"/>
    </xf>
    <xf numFmtId="0" fontId="2" fillId="14" borderId="46" xfId="0" applyFont="1" applyFill="1" applyBorder="1" applyAlignment="1">
      <alignment vertical="center"/>
    </xf>
    <xf numFmtId="0" fontId="2" fillId="14" borderId="47" xfId="0" applyFont="1" applyFill="1" applyBorder="1" applyAlignment="1">
      <alignment vertical="center"/>
    </xf>
    <xf numFmtId="0" fontId="2" fillId="3" borderId="45" xfId="0" applyFont="1" applyFill="1" applyBorder="1" applyAlignment="1">
      <alignment horizontal="center" vertical="center" wrapText="1"/>
    </xf>
    <xf numFmtId="189" fontId="2" fillId="3" borderId="45" xfId="0" applyNumberFormat="1" applyFont="1" applyFill="1" applyBorder="1" applyAlignment="1">
      <alignment horizontal="right" vertical="center" wrapText="1"/>
    </xf>
    <xf numFmtId="189" fontId="2" fillId="2" borderId="46" xfId="0" applyNumberFormat="1" applyFont="1" applyFill="1" applyBorder="1" applyAlignment="1">
      <alignment horizontal="right" vertical="center"/>
    </xf>
    <xf numFmtId="187" fontId="1" fillId="3" borderId="22" xfId="0" applyNumberFormat="1" applyFont="1" applyFill="1" applyBorder="1" applyAlignment="1">
      <alignment horizontal="left" vertical="center"/>
    </xf>
    <xf numFmtId="0" fontId="2" fillId="3" borderId="22" xfId="0" applyFont="1" applyFill="1" applyBorder="1" applyAlignment="1">
      <alignment vertical="center"/>
    </xf>
    <xf numFmtId="0" fontId="2" fillId="3" borderId="23" xfId="0" applyFont="1" applyFill="1" applyBorder="1" applyAlignment="1">
      <alignment vertical="center"/>
    </xf>
    <xf numFmtId="0" fontId="2" fillId="3" borderId="21" xfId="0" applyFont="1" applyFill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1" fillId="3" borderId="18" xfId="0" applyFont="1" applyFill="1" applyBorder="1" applyAlignment="1">
      <alignment vertical="center"/>
    </xf>
    <xf numFmtId="0" fontId="1" fillId="3" borderId="48" xfId="0" applyFont="1" applyFill="1" applyBorder="1" applyAlignment="1">
      <alignment vertical="center"/>
    </xf>
    <xf numFmtId="187" fontId="1" fillId="3" borderId="46" xfId="0" applyNumberFormat="1" applyFont="1" applyFill="1" applyBorder="1" applyAlignment="1">
      <alignment vertical="center"/>
    </xf>
    <xf numFmtId="0" fontId="1" fillId="3" borderId="46" xfId="0" applyFont="1" applyFill="1" applyBorder="1" applyAlignment="1">
      <alignment vertical="center"/>
    </xf>
    <xf numFmtId="0" fontId="1" fillId="0" borderId="43" xfId="0" applyFont="1" applyBorder="1" applyAlignment="1">
      <alignment vertical="center"/>
    </xf>
    <xf numFmtId="0" fontId="2" fillId="0" borderId="45" xfId="0" applyFont="1" applyBorder="1" applyAlignment="1">
      <alignment horizontal="center" vertical="center" wrapText="1"/>
    </xf>
    <xf numFmtId="189" fontId="2" fillId="3" borderId="45" xfId="0" applyNumberFormat="1" applyFont="1" applyFill="1" applyBorder="1" applyAlignment="1">
      <alignment horizontal="center" vertical="center"/>
    </xf>
    <xf numFmtId="187" fontId="3" fillId="3" borderId="21" xfId="0" applyNumberFormat="1" applyFont="1" applyFill="1" applyBorder="1" applyAlignment="1">
      <alignment vertical="center"/>
    </xf>
    <xf numFmtId="187" fontId="3" fillId="3" borderId="22" xfId="0" applyNumberFormat="1" applyFont="1" applyFill="1" applyBorder="1" applyAlignment="1">
      <alignment vertical="center"/>
    </xf>
    <xf numFmtId="187" fontId="3" fillId="3" borderId="22" xfId="0" applyNumberFormat="1" applyFont="1" applyFill="1" applyBorder="1" applyAlignment="1">
      <alignment horizontal="left" vertical="center"/>
    </xf>
    <xf numFmtId="0" fontId="8" fillId="3" borderId="22" xfId="0" quotePrefix="1" applyFont="1" applyFill="1" applyBorder="1" applyAlignment="1">
      <alignment vertical="center"/>
    </xf>
    <xf numFmtId="0" fontId="8" fillId="3" borderId="22" xfId="0" applyFont="1" applyFill="1" applyBorder="1" applyAlignment="1">
      <alignment vertical="center"/>
    </xf>
    <xf numFmtId="0" fontId="8" fillId="3" borderId="23" xfId="0" applyFont="1" applyFill="1" applyBorder="1" applyAlignment="1">
      <alignment vertical="center"/>
    </xf>
    <xf numFmtId="0" fontId="8" fillId="3" borderId="13" xfId="0" applyFont="1" applyFill="1" applyBorder="1" applyAlignment="1">
      <alignment horizontal="center" vertical="center" wrapText="1"/>
    </xf>
    <xf numFmtId="189" fontId="8" fillId="3" borderId="13" xfId="0" applyNumberFormat="1" applyFont="1" applyFill="1" applyBorder="1" applyAlignment="1">
      <alignment horizontal="right" vertical="center" wrapText="1"/>
    </xf>
    <xf numFmtId="188" fontId="8" fillId="3" borderId="13" xfId="0" applyNumberFormat="1" applyFont="1" applyFill="1" applyBorder="1" applyAlignment="1">
      <alignment horizontal="right" vertical="center" wrapText="1"/>
    </xf>
    <xf numFmtId="188" fontId="8" fillId="3" borderId="13" xfId="0" applyNumberFormat="1" applyFont="1" applyFill="1" applyBorder="1" applyAlignment="1">
      <alignment vertical="center"/>
    </xf>
    <xf numFmtId="0" fontId="2" fillId="0" borderId="23" xfId="0" quotePrefix="1" applyFont="1" applyBorder="1" applyAlignment="1">
      <alignment horizontal="left" vertical="center"/>
    </xf>
    <xf numFmtId="0" fontId="1" fillId="8" borderId="18" xfId="0" applyFont="1" applyFill="1" applyBorder="1" applyAlignment="1">
      <alignment vertical="center"/>
    </xf>
    <xf numFmtId="0" fontId="1" fillId="8" borderId="19" xfId="0" applyFont="1" applyFill="1" applyBorder="1" applyAlignment="1">
      <alignment vertical="center"/>
    </xf>
    <xf numFmtId="0" fontId="1" fillId="8" borderId="20" xfId="0" applyFont="1" applyFill="1" applyBorder="1" applyAlignment="1">
      <alignment vertical="center"/>
    </xf>
    <xf numFmtId="0" fontId="1" fillId="8" borderId="13" xfId="0" applyFont="1" applyFill="1" applyBorder="1" applyAlignment="1">
      <alignment horizontal="left" vertical="center"/>
    </xf>
    <xf numFmtId="189" fontId="1" fillId="8" borderId="13" xfId="0" applyNumberFormat="1" applyFont="1" applyFill="1" applyBorder="1" applyAlignment="1">
      <alignment horizontal="left" vertical="center"/>
    </xf>
    <xf numFmtId="188" fontId="1" fillId="8" borderId="13" xfId="0" applyNumberFormat="1" applyFont="1" applyFill="1" applyBorder="1" applyAlignment="1">
      <alignment horizontal="left" vertical="center"/>
    </xf>
    <xf numFmtId="188" fontId="2" fillId="8" borderId="13" xfId="0" applyNumberFormat="1" applyFont="1" applyFill="1" applyBorder="1" applyAlignment="1">
      <alignment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46" xfId="0" applyFont="1" applyFill="1" applyBorder="1" applyAlignment="1">
      <alignment vertical="center"/>
    </xf>
    <xf numFmtId="0" fontId="2" fillId="3" borderId="47" xfId="0" applyFont="1" applyFill="1" applyBorder="1" applyAlignment="1">
      <alignment vertical="center"/>
    </xf>
    <xf numFmtId="0" fontId="2" fillId="3" borderId="45" xfId="0" applyFont="1" applyFill="1" applyBorder="1" applyAlignment="1">
      <alignment horizontal="center" vertical="center"/>
    </xf>
    <xf numFmtId="188" fontId="2" fillId="3" borderId="45" xfId="0" applyNumberFormat="1" applyFont="1" applyFill="1" applyBorder="1" applyAlignment="1">
      <alignment horizontal="center" vertical="center"/>
    </xf>
    <xf numFmtId="188" fontId="2" fillId="3" borderId="45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189" fontId="2" fillId="3" borderId="19" xfId="0" applyNumberFormat="1" applyFont="1" applyFill="1" applyBorder="1" applyAlignment="1">
      <alignment horizontal="right" vertical="center"/>
    </xf>
    <xf numFmtId="189" fontId="2" fillId="3" borderId="26" xfId="0" applyNumberFormat="1" applyFont="1" applyFill="1" applyBorder="1" applyAlignment="1">
      <alignment horizontal="right" vertical="center"/>
    </xf>
    <xf numFmtId="188" fontId="2" fillId="3" borderId="28" xfId="0" applyNumberFormat="1" applyFont="1" applyFill="1" applyBorder="1" applyAlignment="1">
      <alignment horizontal="right" vertical="center" wrapText="1"/>
    </xf>
    <xf numFmtId="188" fontId="2" fillId="3" borderId="28" xfId="0" applyNumberFormat="1" applyFont="1" applyFill="1" applyBorder="1" applyAlignment="1">
      <alignment vertical="center"/>
    </xf>
    <xf numFmtId="189" fontId="2" fillId="2" borderId="1" xfId="0" applyNumberFormat="1" applyFont="1" applyFill="1" applyBorder="1" applyAlignment="1">
      <alignment horizontal="right" wrapText="1"/>
    </xf>
    <xf numFmtId="188" fontId="2" fillId="19" borderId="13" xfId="0" applyNumberFormat="1" applyFont="1" applyFill="1" applyBorder="1" applyAlignment="1">
      <alignment vertical="center"/>
    </xf>
    <xf numFmtId="189" fontId="2" fillId="3" borderId="20" xfId="0" applyNumberFormat="1" applyFont="1" applyFill="1" applyBorder="1" applyAlignment="1">
      <alignment horizontal="right" vertical="center"/>
    </xf>
    <xf numFmtId="188" fontId="2" fillId="3" borderId="28" xfId="0" applyNumberFormat="1" applyFont="1" applyFill="1" applyBorder="1" applyAlignment="1">
      <alignment horizontal="center" vertical="center"/>
    </xf>
    <xf numFmtId="189" fontId="2" fillId="0" borderId="45" xfId="0" applyNumberFormat="1" applyFont="1" applyBorder="1" applyAlignment="1">
      <alignment horizontal="right" vertical="center" wrapText="1"/>
    </xf>
    <xf numFmtId="188" fontId="10" fillId="3" borderId="13" xfId="0" applyNumberFormat="1" applyFont="1" applyFill="1" applyBorder="1" applyAlignment="1">
      <alignment vertical="center"/>
    </xf>
    <xf numFmtId="188" fontId="10" fillId="19" borderId="13" xfId="0" applyNumberFormat="1" applyFont="1" applyFill="1" applyBorder="1" applyAlignment="1">
      <alignment vertical="center"/>
    </xf>
    <xf numFmtId="188" fontId="10" fillId="0" borderId="13" xfId="0" applyNumberFormat="1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/>
    <xf numFmtId="0" fontId="3" fillId="5" borderId="4" xfId="0" applyFont="1" applyFill="1" applyBorder="1" applyAlignment="1">
      <alignment horizontal="center" vertical="center"/>
    </xf>
    <xf numFmtId="0" fontId="4" fillId="0" borderId="5" xfId="0" applyFont="1" applyBorder="1"/>
    <xf numFmtId="0" fontId="4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A1:N1036"/>
  <sheetViews>
    <sheetView tabSelected="1" view="pageBreakPreview" zoomScale="60" zoomScaleNormal="100" workbookViewId="0">
      <pane ySplit="5" topLeftCell="A6" activePane="bottomLeft" state="frozen"/>
      <selection activeCell="A5" sqref="A5:G5"/>
      <selection pane="bottomLeft" activeCell="A5" sqref="A5:G5"/>
    </sheetView>
  </sheetViews>
  <sheetFormatPr defaultColWidth="12.625" defaultRowHeight="15" customHeight="1" x14ac:dyDescent="0.55000000000000004"/>
  <cols>
    <col min="1" max="3" width="2.75" style="1" customWidth="1"/>
    <col min="4" max="5" width="4.25" style="1" customWidth="1"/>
    <col min="6" max="6" width="6.7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68" t="s">
        <v>0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</row>
    <row r="2" spans="1:14" ht="18" customHeight="1" x14ac:dyDescent="0.55000000000000004">
      <c r="A2" s="368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</row>
    <row r="3" spans="1:14" ht="18" customHeight="1" x14ac:dyDescent="0.55000000000000004">
      <c r="A3" s="368" t="s">
        <v>247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70" t="s">
        <v>4</v>
      </c>
      <c r="B5" s="371"/>
      <c r="C5" s="371"/>
      <c r="D5" s="371"/>
      <c r="E5" s="371"/>
      <c r="F5" s="371"/>
      <c r="G5" s="372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ca="1">กาญจนบุรี!L6+จันทบุรี!L6+ฉะเชิงเทรา!L6+ชลบุรี!L6+ชัยนาท!L6+ตราด!L6+นครนายก!L6+นครปฐม!L6+ปทุมธานี!L6+ประจวบคีรีขันธ์!L6+ปราจีนบุรี!L6+พระนครศรีอยุธยา!L6+เพชรบุรี!L6+ระยอง!L6+ราชบุรี!L6+ลพบุรี!L6+สระแก้ว!L6+สระบุรี!L6+สิงห์บุรี!L6+สุพรรณบุรี!L6+อ่างทอง!L6</f>
        <v>33551830</v>
      </c>
      <c r="M6" s="16">
        <f>กาญจนบุรี!M6+จันทบุรี!M6+ฉะเชิงเทรา!M6+ชลบุรี!M6+ชัยนาท!M6+ตราด!M6+นครนายก!M6+นครปฐม!M6+ปทุมธานี!M6+ประจวบคีรีขันธ์!M6+ปราจีนบุรี!M6+พระนครศรีอยุธยา!M6+เพชรบุรี!M6+ระยอง!M6+ราชบุรี!M6+ลพบุรี!M6+สระแก้ว!M6+สระบุรี!M6+สิงห์บุรี!M6+สุพรรณบุรี!M6+อ่างทอง!M6</f>
        <v>595001.86</v>
      </c>
      <c r="N6" s="17">
        <f ca="1">IF(L6&gt;0,M6*100/L6,0)</f>
        <v>1.7733812432883691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ca="1">กาญจนบุรี!I9+จันทบุรี!I9+ฉะเชิงเทรา!I9+ชลบุรี!I9+ชัยนาท!I9+ตราด!I9+นครนายก!I9+นครปฐม!I9+ปทุมธานี!I9+ประจวบคีรีขันธ์!I9+ปราจีนบุรี!I9+พระนครศรีอยุธยา!I9+เพชรบุรี!I9+ระยอง!I9+ราชบุรี!I9+ลพบุรี!I9+สระแก้ว!I9+สระบุรี!I9+สิงห์บุรี!I9+สุพรรณบุรี!I9+อ่างทอง!I9</f>
        <v>8</v>
      </c>
      <c r="J9" s="38">
        <f>กาญจนบุรี!J9+จันทบุรี!J9+ฉะเชิงเทรา!J9+ชลบุรี!J9+ชัยนาท!J9+ตราด!J9+นครนายก!J9+นครปฐม!J9+ปทุมธานี!J9+ประจวบคีรีขันธ์!J9+ปราจีนบุรี!J9+พระนครศรีอยุธยา!J9+เพชรบุรี!J9+ระยอง!J9+ราชบุรี!J9+ลพบุรี!J9+สระแก้ว!J9+สระบุรี!J9+สิงห์บุรี!J9+สุพรรณบุรี!J9+อ่างทอง!J9</f>
        <v>0</v>
      </c>
      <c r="K9" s="39">
        <f t="shared" ref="K9:K10" ca="1" si="0">IF(I9&gt;0,J9*100/I9,0)</f>
        <v>0</v>
      </c>
      <c r="L9" s="40">
        <f ca="1">กาญจนบุรี!L9+จันทบุรี!L9+ฉะเชิงเทรา!L9+ชลบุรี!L9+ชัยนาท!L9+ตราด!L9+นครนายก!L9+นครปฐม!L9+ปทุมธานี!L9+ประจวบคีรีขันธ์!L9+ปราจีนบุรี!L9+พระนครศรีอยุธยา!L9+เพชรบุรี!L9+ระยอง!L9+ราชบุรี!L9+ลพบุรี!L9+สระแก้ว!L9+สระบุรี!L9+สิงห์บุรี!L9+สุพรรณบุรี!L9+อ่างทอง!L9</f>
        <v>5268100</v>
      </c>
      <c r="M9" s="40">
        <f>กาญจนบุรี!M9+จันทบุรี!M9+ฉะเชิงเทรา!M9+ชลบุรี!M9+ชัยนาท!M9+ตราด!M9+นครนายก!M9+นครปฐม!M9+ปทุมธานี!M9+ประจวบคีรีขันธ์!M9+ปราจีนบุรี!M9+พระนครศรีอยุธยา!M9+เพชรบุรี!M9+ระยอง!M9+ราชบุรี!M9+ลพบุรี!M9+สระแก้ว!M9+สระบุรี!M9+สิงห์บุรี!M9+สุพรรณบุรี!M9+อ่างทอง!M9</f>
        <v>55753</v>
      </c>
      <c r="N9" s="39">
        <f ca="1">IF(L9&gt;0,M9*100/L9,0)</f>
        <v>1.0583132438640117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ca="1">กาญจนบุรี!I10+จันทบุรี!I10+ฉะเชิงเทรา!I10+ชลบุรี!I10+ชัยนาท!I10+ตราด!I10+นครนายก!I10+นครปฐม!I10+ปทุมธานี!I10+ประจวบคีรีขันธ์!I10+ปราจีนบุรี!I10+พระนครศรีอยุธยา!I10+เพชรบุรี!I10+ระยอง!I10+ราชบุรี!I10+ลพบุรี!I10+สระแก้ว!I10+สระบุรี!I10+สิงห์บุรี!I10+สุพรรณบุรี!I10+อ่างทอง!I10</f>
        <v>440</v>
      </c>
      <c r="J10" s="38">
        <f>กาญจนบุรี!J10+จันทบุรี!J10+ฉะเชิงเทรา!J10+ชลบุรี!J10+ชัยนาท!J10+ตราด!J10+นครนายก!J10+นครปฐม!J10+ปทุมธานี!J10+ประจวบคีรีขันธ์!J10+ปราจีนบุรี!J10+พระนครศรีอยุธยา!J10+เพชรบุรี!J10+ระยอง!J10+ราชบุรี!J10+ลพบุรี!J10+สระแก้ว!J10+สระบุรี!J10+สิงห์บุรี!J10+สุพรรณบุรี!J10+อ่างทอง!J10</f>
        <v>0</v>
      </c>
      <c r="K10" s="39">
        <f t="shared" ca="1" si="0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f>กาญจนบุรี!L11+จันทบุรี!L11+ฉะเชิงเทรา!L11+ชลบุรี!L11+ชัยนาท!L11+ตราด!L11+นครนายก!L11+นครปฐม!L11+ปทุมธานี!L11+ประจวบคีรีขันธ์!L11+ปราจีนบุรี!L11+พระนครศรีอยุธยา!L11+เพชรบุรี!L11+ระยอง!L11+ราชบุรี!L11+ลพบุรี!L11+สระแก้ว!L11+สระบุรี!L11+สิงห์บุรี!L11+สุพรรณบุรี!L11+อ่างทอง!L11</f>
        <v>0</v>
      </c>
      <c r="M11" s="49">
        <f>กาญจนบุรี!M11+จันทบุรี!M11+ฉะเชิงเทรา!M11+ชลบุรี!M11+ชัยนาท!M11+ตราด!M11+นครนายก!M11+นครปฐม!M11+ปทุมธานี!M11+ประจวบคีรีขันธ์!M11+ปราจีนบุรี!M11+พระนครศรีอยุธยา!M11+เพชรบุรี!M11+ระยอง!M11+ราชบุรี!M11+ลพบุรี!M11+สระแก้ว!M11+สระบุรี!M11+สิงห์บุรี!M11+สุพรรณบุรี!M11+อ่างทอง!M11</f>
        <v>0</v>
      </c>
      <c r="N11" s="49">
        <f t="shared" ref="N11:N14" si="1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49">
        <f ca="1">กาญจนบุรี!L12+จันทบุรี!L12+ฉะเชิงเทรา!L12+ชลบุรี!L12+ชัยนาท!L12+ตราด!L12+นครนายก!L12+นครปฐม!L12+ปทุมธานี!L12+ประจวบคีรีขันธ์!L12+ปราจีนบุรี!L12+พระนครศรีอยุธยา!L12+เพชรบุรี!L12+ระยอง!L12+ราชบุรี!L12+ลพบุรี!L12+สระแก้ว!L12+สระบุรี!L12+สิงห์บุรี!L12+สุพรรณบุรี!L12+อ่างทอง!L12</f>
        <v>5268100</v>
      </c>
      <c r="M12" s="49">
        <f>กาญจนบุรี!M12+จันทบุรี!M12+ฉะเชิงเทรา!M12+ชลบุรี!M12+ชัยนาท!M12+ตราด!M12+นครนายก!M12+นครปฐม!M12+ปทุมธานี!M12+ประจวบคีรีขันธ์!M12+ปราจีนบุรี!M12+พระนครศรีอยุธยา!M12+เพชรบุรี!M12+ระยอง!M12+ราชบุรี!M12+ลพบุรี!M12+สระแก้ว!M12+สระบุรี!M12+สิงห์บุรี!M12+สุพรรณบุรี!M12+อ่างทอง!M12</f>
        <v>55753</v>
      </c>
      <c r="N12" s="49">
        <f t="shared" ca="1" si="1"/>
        <v>1.0583132438640117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47"/>
      <c r="K13" s="48"/>
      <c r="L13" s="52">
        <f ca="1">กาญจนบุรี!L13+จันทบุรี!L13+ฉะเชิงเทรา!L13+ชลบุรี!L13+ชัยนาท!L13+ตราด!L13+นครนายก!L13+นครปฐม!L13+ปทุมธานี!L13+ประจวบคีรีขันธ์!L13+ปราจีนบุรี!L13+พระนครศรีอยุธยา!L13+เพชรบุรี!L13+ระยอง!L13+ราชบุรี!L13+ลพบุรี!L13+สระแก้ว!L13+สระบุรี!L13+สิงห์บุรี!L13+สุพรรณบุรี!L13+อ่างทอง!L13</f>
        <v>1378100</v>
      </c>
      <c r="M13" s="53">
        <f>กาญจนบุรี!M13+จันทบุรี!M13+ฉะเชิงเทรา!M13+ชลบุรี!M13+ชัยนาท!M13+ตราด!M13+นครนายก!M13+นครปฐม!M13+ปทุมธานี!M13+ประจวบคีรีขันธ์!M13+ปราจีนบุรี!M13+พระนครศรีอยุธยา!M13+เพชรบุรี!M13+ระยอง!M13+ราชบุรี!M13+ลพบุรี!M13+สระแก้ว!M13+สระบุรี!M13+สิงห์บุรี!M13+สุพรรณบุรี!M13+อ่างทอง!M13</f>
        <v>35780</v>
      </c>
      <c r="N13" s="52">
        <f t="shared" ca="1" si="1"/>
        <v>2.5963282780640013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47"/>
      <c r="K14" s="48"/>
      <c r="L14" s="52">
        <f ca="1">กาญจนบุรี!L14+จันทบุรี!L14+ฉะเชิงเทรา!L14+ชลบุรี!L14+ชัยนาท!L14+ตราด!L14+นครนายก!L14+นครปฐม!L14+ปทุมธานี!L14+ประจวบคีรีขันธ์!L14+ปราจีนบุรี!L14+พระนครศรีอยุธยา!L14+เพชรบุรี!L14+ระยอง!L14+ราชบุรี!L14+ลพบุรี!L14+สระแก้ว!L14+สระบุรี!L14+สิงห์บุรี!L14+สุพรรณบุรี!L14+อ่างทอง!L14</f>
        <v>3890000</v>
      </c>
      <c r="M14" s="53">
        <f>กาญจนบุรี!M14+จันทบุรี!M14+ฉะเชิงเทรา!M14+ชลบุรี!M14+ชัยนาท!M14+ตราด!M14+นครนายก!M14+นครปฐม!M14+ปทุมธานี!M14+ประจวบคีรีขันธ์!M14+ปราจีนบุรี!M14+พระนครศรีอยุธยา!M14+เพชรบุรี!M14+ระยอง!M14+ราชบุรี!M14+ลพบุรี!M14+สระแก้ว!M14+สระบุรี!M14+สิงห์บุรี!M14+สุพรรณบุรี!M14+อ่างทอง!M14</f>
        <v>19973</v>
      </c>
      <c r="N14" s="52">
        <f t="shared" ca="1" si="1"/>
        <v>0.51344473007712077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f>กาญจนบุรี!J16+จันทบุรี!J16+ฉะเชิงเทรา!J16+ชลบุรี!J16+ชัยนาท!J16+ตราด!J16+นครนายก!J16+นครปฐม!J16+ปทุมธานี!J16+ประจวบคีรีขันธ์!J16+ปราจีนบุรี!J16+พระนครศรีอยุธยา!J16+เพชรบุรี!J16+ระยอง!J16+ราชบุรี!J16+ลพบุรี!J16+สระแก้ว!J16+สระบุรี!J16+สิงห์บุรี!J16+สุพรรณบุรี!J16+อ่างทอง!J16</f>
        <v>2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f>กาญจนบุรี!J17+จันทบุรี!J17+ฉะเชิงเทรา!J17+ชลบุรี!J17+ชัยนาท!J17+ตราด!J17+นครนายก!J17+นครปฐม!J17+ปทุมธานี!J17+ประจวบคีรีขันธ์!J17+ปราจีนบุรี!J17+พระนครศรีอยุธยา!J17+เพชรบุรี!J17+ระยอง!J17+ราชบุรี!J17+ลพบุรี!J17+สระแก้ว!J17+สระบุรี!J17+สิงห์บุรี!J17+สุพรรณบุรี!J17+อ่างทอง!J17</f>
        <v>2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7">
        <f>กาญจนบุรี!J18+จันทบุรี!J18+ฉะเชิงเทรา!J18+ชลบุรี!J18+ชัยนาท!J18+ตราด!J18+นครนายก!J18+นครปฐม!J18+ปทุมธานี!J18+ประจวบคีรีขันธ์!J18+ปราจีนบุรี!J18+พระนครศรีอยุธยา!J18+เพชรบุรี!J18+ระยอง!J18+ราชบุรี!J18+ลพบุรี!J18+สระแก้ว!J18+สระบุรี!J18+สิงห์บุรี!J18+สุพรรณบุรี!J18+อ่างทอง!J18</f>
        <v>2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7">
        <f>กาญจนบุรี!J19+จันทบุรี!J19+ฉะเชิงเทรา!J19+ชลบุรี!J19+ชัยนาท!J19+ตราด!J19+นครนายก!J19+นครปฐม!J19+ปทุมธานี!J19+ประจวบคีรีขันธ์!J19+ปราจีนบุรี!J19+พระนครศรีอยุธยา!J19+เพชรบุรี!J19+ระยอง!J19+ราชบุรี!J19+ลพบุรี!J19+สระแก้ว!J19+สระบุรี!J19+สิงห์บุรี!J19+สุพรรณบุรี!J19+อ่างทอง!J19</f>
        <v>1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ca="1">กาญจนบุรี!I20+จันทบุรี!I20+ฉะเชิงเทรา!I20+ชลบุรี!I20+ชัยนาท!I20+ตราด!I20+นครนายก!I20+นครปฐม!I20+ปทุมธานี!I20+ประจวบคีรีขันธ์!I20+ปราจีนบุรี!I20+พระนครศรีอยุธยา!I20+เพชรบุรี!I20+ระยอง!I20+ราชบุรี!I20+ลพบุรี!I20+สระแก้ว!I20+สระบุรี!I20+สิงห์บุรี!I20+สุพรรณบุรี!I20+อ่างทอง!I20</f>
        <v>8</v>
      </c>
      <c r="J20" s="78">
        <f>กาญจนบุรี!J20+จันทบุรี!J20+ฉะเชิงเทรา!J20+ชลบุรี!J20+ชัยนาท!J20+ตราด!J20+นครนายก!J20+นครปฐม!J20+ปทุมธานี!J20+ประจวบคีรีขันธ์!J20+ปราจีนบุรี!J20+พระนครศรีอยุธยา!J20+เพชรบุรี!J20+ระยอง!J20+ราชบุรี!J20+ลพบุรี!J20+สระแก้ว!J20+สระบุรี!J20+สิงห์บุรี!J20+สุพรรณบุรี!J20+อ่างทอง!J20</f>
        <v>0</v>
      </c>
      <c r="K20" s="79">
        <f t="shared" ref="K20:K28" ca="1" si="2">IF(I20&gt;0,J20*100/I20,0)</f>
        <v>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ca="1">กาญจนบุรี!I21+จันทบุรี!I21+ฉะเชิงเทรา!I21+ชลบุรี!I21+ชัยนาท!I21+ตราด!I21+นครนายก!I21+นครปฐม!I21+ปทุมธานี!I21+ประจวบคีรีขันธ์!I21+ปราจีนบุรี!I21+พระนครศรีอยุธยา!I21+เพชรบุรี!I21+ระยอง!I21+ราชบุรี!I21+ลพบุรี!I21+สระแก้ว!I21+สระบุรี!I21+สิงห์บุรี!I21+สุพรรณบุรี!I21+อ่างทอง!I21</f>
        <v>440</v>
      </c>
      <c r="J21" s="78">
        <f>กาญจนบุรี!J21+จันทบุรี!J21+ฉะเชิงเทรา!J21+ชลบุรี!J21+ชัยนาท!J21+ตราด!J21+นครนายก!J21+นครปฐม!J21+ปทุมธานี!J21+ประจวบคีรีขันธ์!J21+ปราจีนบุรี!J21+พระนครศรีอยุธยา!J21+เพชรบุรี!J21+ระยอง!J21+ราชบุรี!J21+ลพบุรี!J21+สระแก้ว!J21+สระบุรี!J21+สิงห์บุรี!J21+สุพรรณบุรี!J21+อ่างทอง!J21</f>
        <v>0</v>
      </c>
      <c r="K21" s="79">
        <f t="shared" ca="1" si="2"/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กาญจนบุรี!I22+จันทบุรี!I22+ฉะเชิงเทรา!I22+ชลบุรี!I22+ชัยนาท!I22+ตราด!I22+นครนายก!I22+นครปฐม!I22+ปทุมธานี!I22+ประจวบคีรีขันธ์!I22+ปราจีนบุรี!I22+พระนครศรีอยุธยา!I22+เพชรบุรี!I22+ระยอง!I22+ราชบุรี!I22+ลพบุรี!I22+สระแก้ว!I22+สระบุรี!I22+สิงห์บุรี!I22+สุพรรณบุรี!I22+อ่างทอง!I22</f>
        <v>2</v>
      </c>
      <c r="J22" s="67">
        <f>กาญจนบุรี!J22+จันทบุรี!J22+ฉะเชิงเทรา!J22+ชลบุรี!J22+ชัยนาท!J22+ตราด!J22+นครนายก!J22+นครปฐม!J22+ปทุมธานี!J22+ประจวบคีรีขันธ์!J22+ปราจีนบุรี!J22+พระนครศรีอยุธยา!J22+เพชรบุรี!J22+ระยอง!J22+ราชบุรี!J22+ลพบุรี!J22+สระแก้ว!J22+สระบุรี!J22+สิงห์บุรี!J22+สุพรรณบุรี!J22+อ่างทอง!J22</f>
        <v>0</v>
      </c>
      <c r="K22" s="48">
        <f t="shared" ca="1" si="2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กาญจนบุรี!I23+จันทบุรี!I23+ฉะเชิงเทรา!I23+ชลบุรี!I23+ชัยนาท!I23+ตราด!I23+นครนายก!I23+นครปฐม!I23+ปทุมธานี!I23+ประจวบคีรีขันธ์!I23+ปราจีนบุรี!I23+พระนครศรีอยุธยา!I23+เพชรบุรี!I23+ระยอง!I23+ราชบุรี!I23+ลพบุรี!I23+สระแก้ว!I23+สระบุรี!I23+สิงห์บุรี!I23+สุพรรณบุรี!I23+อ่างทอง!I23</f>
        <v>150</v>
      </c>
      <c r="J23" s="67">
        <f>กาญจนบุรี!J23+จันทบุรี!J23+ฉะเชิงเทรา!J23+ชลบุรี!J23+ชัยนาท!J23+ตราด!J23+นครนายก!J23+นครปฐม!J23+ปทุมธานี!J23+ประจวบคีรีขันธ์!J23+ปราจีนบุรี!J23+พระนครศรีอยุธยา!J23+เพชรบุรี!J23+ระยอง!J23+ราชบุรี!J23+ลพบุรี!J23+สระแก้ว!J23+สระบุรี!J23+สิงห์บุรี!J23+สุพรรณบุรี!J23+อ่างทอง!J23</f>
        <v>0</v>
      </c>
      <c r="K23" s="48">
        <f t="shared" ca="1" si="2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กาญจนบุรี!I24+จันทบุรี!I24+ฉะเชิงเทรา!I24+ชลบุรี!I24+ชัยนาท!I24+ตราด!I24+นครนายก!I24+นครปฐม!I24+ปทุมธานี!I24+ประจวบคีรีขันธ์!I24+ปราจีนบุรี!I24+พระนครศรีอยุธยา!I24+เพชรบุรี!I24+ระยอง!I24+ราชบุรี!I24+ลพบุรี!I24+สระแก้ว!I24+สระบุรี!I24+สิงห์บุรี!I24+สุพรรณบุรี!I24+อ่างทอง!I24</f>
        <v>2</v>
      </c>
      <c r="J24" s="67">
        <f>กาญจนบุรี!J24+จันทบุรี!J24+ฉะเชิงเทรา!J24+ชลบุรี!J24+ชัยนาท!J24+ตราด!J24+นครนายก!J24+นครปฐม!J24+ปทุมธานี!J24+ประจวบคีรีขันธ์!J24+ปราจีนบุรี!J24+พระนครศรีอยุธยา!J24+เพชรบุรี!J24+ระยอง!J24+ราชบุรี!J24+ลพบุรี!J24+สระแก้ว!J24+สระบุรี!J24+สิงห์บุรี!J24+สุพรรณบุรี!J24+อ่างทอง!J24</f>
        <v>0</v>
      </c>
      <c r="K24" s="48">
        <f t="shared" ca="1" si="2"/>
        <v>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กาญจนบุรี!I25+จันทบุรี!I25+ฉะเชิงเทรา!I25+ชลบุรี!I25+ชัยนาท!I25+ตราด!I25+นครนายก!I25+นครปฐม!I25+ปทุมธานี!I25+ประจวบคีรีขันธ์!I25+ปราจีนบุรี!I25+พระนครศรีอยุธยา!I25+เพชรบุรี!I25+ระยอง!I25+ราชบุรี!I25+ลพบุรี!I25+สระแก้ว!I25+สระบุรี!I25+สิงห์บุรี!I25+สุพรรณบุรี!I25+อ่างทอง!I25</f>
        <v>130</v>
      </c>
      <c r="J25" s="67">
        <f>กาญจนบุรี!J25+จันทบุรี!J25+ฉะเชิงเทรา!J25+ชลบุรี!J25+ชัยนาท!J25+ตราด!J25+นครนายก!J25+นครปฐม!J25+ปทุมธานี!J25+ประจวบคีรีขันธ์!J25+ปราจีนบุรี!J25+พระนครศรีอยุธยา!J25+เพชรบุรี!J25+ระยอง!J25+ราชบุรี!J25+ลพบุรี!J25+สระแก้ว!J25+สระบุรี!J25+สิงห์บุรี!J25+สุพรรณบุรี!J25+อ่างทอง!J25</f>
        <v>0</v>
      </c>
      <c r="K25" s="48">
        <f t="shared" ca="1" si="2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กาญจนบุรี!I26+จันทบุรี!I26+ฉะเชิงเทรา!I26+ชลบุรี!I26+ชัยนาท!I26+ตราด!I26+นครนายก!I26+นครปฐม!I26+ปทุมธานี!I26+ประจวบคีรีขันธ์!I26+ปราจีนบุรี!I26+พระนครศรีอยุธยา!I26+เพชรบุรี!I26+ระยอง!I26+ราชบุรี!I26+ลพบุรี!I26+สระแก้ว!I26+สระบุรี!I26+สิงห์บุรี!I26+สุพรรณบุรี!I26+อ่างทอง!I26</f>
        <v>4</v>
      </c>
      <c r="J26" s="67">
        <f>กาญจนบุรี!J26+จันทบุรี!J26+ฉะเชิงเทรา!J26+ชลบุรี!J26+ชัยนาท!J26+ตราด!J26+นครนายก!J26+นครปฐม!J26+ปทุมธานี!J26+ประจวบคีรีขันธ์!J26+ปราจีนบุรี!J26+พระนครศรีอยุธยา!J26+เพชรบุรี!J26+ระยอง!J26+ราชบุรี!J26+ลพบุรี!J26+สระแก้ว!J26+สระบุรี!J26+สิงห์บุรี!J26+สุพรรณบุรี!J26+อ่างทอง!J26</f>
        <v>0</v>
      </c>
      <c r="K26" s="48">
        <f t="shared" ca="1" si="2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กาญจนบุรี!I27+จันทบุรี!I27+ฉะเชิงเทรา!I27+ชลบุรี!I27+ชัยนาท!I27+ตราด!I27+นครนายก!I27+นครปฐม!I27+ปทุมธานี!I27+ประจวบคีรีขันธ์!I27+ปราจีนบุรี!I27+พระนครศรีอยุธยา!I27+เพชรบุรี!I27+ระยอง!I27+ราชบุรี!I27+ลพบุรี!I27+สระแก้ว!I27+สระบุรี!I27+สิงห์บุรี!I27+สุพรรณบุรี!I27+อ่างทอง!I27</f>
        <v>160</v>
      </c>
      <c r="J27" s="67">
        <f>กาญจนบุรี!J27+จันทบุรี!J27+ฉะเชิงเทรา!J27+ชลบุรี!J27+ชัยนาท!J27+ตราด!J27+นครนายก!J27+นครปฐม!J27+ปทุมธานี!J27+ประจวบคีรีขันธ์!J27+ปราจีนบุรี!J27+พระนครศรีอยุธยา!J27+เพชรบุรี!J27+ระยอง!J27+ราชบุรี!J27+ลพบุรี!J27+สระแก้ว!J27+สระบุรี!J27+สิงห์บุรี!J27+สุพรรณบุรี!J27+อ่างทอง!J27</f>
        <v>0</v>
      </c>
      <c r="K27" s="48">
        <f t="shared" ca="1" si="2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v>0</v>
      </c>
      <c r="J28" s="67">
        <f>กาญจนบุรี!J28+จันทบุรี!J28+ฉะเชิงเทรา!J28+ชลบุรี!J28+ชัยนาท!J28+ตราด!J28+นครนายก!J28+นครปฐม!J28+ปทุมธานี!J28+ประจวบคีรีขันธ์!J28+ปราจีนบุรี!J28+พระนครศรีอยุธยา!J28+เพชรบุรี!J28+ระยอง!J28+ราชบุรี!J28+ลพบุรี!J28+สระแก้ว!J28+สระบุรี!J28+สิงห์บุรี!J28+สุพรรณบุรี!J28+อ่างทอง!J28</f>
        <v>0</v>
      </c>
      <c r="K28" s="48">
        <f t="shared" si="2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7">
        <f>กาญจนบุรี!J29+จันทบุรี!J29+ฉะเชิงเทรา!J29+ชลบุรี!J29+ชัยนาท!J29+ตราด!J29+นครนายก!J29+นครปฐม!J29+ปทุมธานี!J29+ประจวบคีรีขันธ์!J29+ปราจีนบุรี!J29+พระนครศรีอยุธยา!J29+เพชรบุรี!J29+ระยอง!J29+ราชบุรี!J29+ลพบุรี!J29+สระแก้ว!J29+สระบุรี!J29+สิงห์บุรี!J29+สุพรรณบุรี!J29+อ่างทอง!J29</f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f>กาญจนบุรี!J30+จันทบุรี!J30+ฉะเชิงเทรา!J30+ชลบุรี!J30+ชัยนาท!J30+ตราด!J30+นครนายก!J30+นครปฐม!J30+ปทุมธานี!J30+ประจวบคีรีขันธ์!J30+ปราจีนบุรี!J30+พระนครศรีอยุธยา!J30+เพชรบุรี!J30+ระยอง!J30+ราชบุรี!J30+ลพบุรี!J30+สระแก้ว!J30+สระบุรี!J30+สิงห์บุรี!J30+สุพรรณบุรี!J30+อ่างทอง!J30</f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ca="1">กาญจนบุรี!I32+จันทบุรี!I32+ฉะเชิงเทรา!I32+ชลบุรี!I32+ชัยนาท!I32+ตราด!I32+นครนายก!I32+นครปฐม!I32+ปทุมธานี!I32+ประจวบคีรีขันธ์!I32+ปราจีนบุรี!I32+พระนครศรีอยุธยา!I32+เพชรบุรี!I32+ระยอง!I32+ราชบุรี!I32+ลพบุรี!I32+สระแก้ว!I32+สระบุรี!I32+สิงห์บุรี!I32+สุพรรณบุรี!I32+อ่างทอง!I32</f>
        <v>29</v>
      </c>
      <c r="J32" s="38">
        <f>กาญจนบุรี!J32+จันทบุรี!J32+ฉะเชิงเทรา!J32+ชลบุรี!J32+ชัยนาท!J32+ตราด!J32+นครนายก!J32+นครปฐม!J32+ปทุมธานี!J32+ประจวบคีรีขันธ์!J32+ปราจีนบุรี!J32+พระนครศรีอยุธยา!J32+เพชรบุรี!J32+ระยอง!J32+ราชบุรี!J32+ลพบุรี!J32+สระแก้ว!J32+สระบุรี!J32+สิงห์บุรี!J32+สุพรรณบุรี!J32+อ่างทอง!J32</f>
        <v>0</v>
      </c>
      <c r="K32" s="39">
        <f t="shared" ref="K32:K33" ca="1" si="3">IF(I32&gt;0,J32*100/I32,0)</f>
        <v>0</v>
      </c>
      <c r="L32" s="96">
        <f ca="1">กาญจนบุรี!L32+จันทบุรี!L32+ฉะเชิงเทรา!L32+ชลบุรี!L32+ชัยนาท!L32+ตราด!L32+นครนายก!L32+นครปฐม!L32+ปทุมธานี!L32+ประจวบคีรีขันธ์!L32+ปราจีนบุรี!L32+พระนครศรีอยุธยา!L32+เพชรบุรี!L32+ระยอง!L32+ราชบุรี!L32+ลพบุรี!L32+สระแก้ว!L32+สระบุรี!L32+สิงห์บุรี!L32+สุพรรณบุรี!L32+อ่างทอง!L32</f>
        <v>754540</v>
      </c>
      <c r="M32" s="96">
        <f>กาญจนบุรี!M32+จันทบุรี!M32+ฉะเชิงเทรา!M32+ชลบุรี!M32+ชัยนาท!M32+ตราด!M32+นครนายก!M32+นครปฐม!M32+ปทุมธานี!M32+ประจวบคีรีขันธ์!M32+ปราจีนบุรี!M32+พระนครศรีอยุธยา!M32+เพชรบุรี!M32+ระยอง!M32+ราชบุรี!M32+ลพบุรี!M32+สระแก้ว!M32+สระบุรี!M32+สิงห์บุรี!M32+สุพรรณบุรี!M32+อ่างทอง!M32</f>
        <v>10780</v>
      </c>
      <c r="N32" s="39">
        <f ca="1">IF(L32&gt;0,M32*100/L32,0)</f>
        <v>1.4286850266387467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กาญจนบุรี!I33+จันทบุรี!I33+ฉะเชิงเทรา!I33+ชลบุรี!I33+ชัยนาท!I33+ตราด!I33+นครนายก!I33+นครปฐม!I33+ปทุมธานี!I33+ประจวบคีรีขันธ์!I33+ปราจีนบุรี!I33+พระนครศรีอยุธยา!I33+เพชรบุรี!I33+ระยอง!I33+ราชบุรี!I33+ลพบุรี!I33+สระแก้ว!I33+สระบุรี!I33+สิงห์บุรี!I33+สุพรรณบุรี!I33+อ่างทอง!I33</f>
        <v>8</v>
      </c>
      <c r="J33" s="38">
        <f>กาญจนบุรี!J33+จันทบุรี!J33+ฉะเชิงเทรา!J33+ชลบุรี!J33+ชัยนาท!J33+ตราด!J33+นครนายก!J33+นครปฐม!J33+ปทุมธานี!J33+ประจวบคีรีขันธ์!J33+ปราจีนบุรี!J33+พระนครศรีอยุธยา!J33+เพชรบุรี!J33+ระยอง!J33+ราชบุรี!J33+ลพบุรี!J33+สระแก้ว!J33+สระบุรี!J33+สิงห์บุรี!J33+สุพรรณบุรี!J33+อ่างทอง!J33</f>
        <v>0</v>
      </c>
      <c r="K33" s="39">
        <f t="shared" ca="1" si="3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49">
        <f>กาญจนบุรี!L34+จันทบุรี!L34+ฉะเชิงเทรา!L34+ชลบุรี!L34+ชัยนาท!L34+ตราด!L34+นครนายก!L34+นครปฐม!L34+ปทุมธานี!L34+ประจวบคีรีขันธ์!L34+ปราจีนบุรี!L34+พระนครศรีอยุธยา!L34+เพชรบุรี!L34+ระยอง!L34+ราชบุรี!L34+ลพบุรี!L34+สระแก้ว!L34+สระบุรี!L34+สิงห์บุรี!L34+สุพรรณบุรี!L34+อ่างทอง!L34</f>
        <v>0</v>
      </c>
      <c r="M34" s="49">
        <f>กาญจนบุรี!M34+จันทบุรี!M34+ฉะเชิงเทรา!M34+ชลบุรี!M34+ชัยนาท!M34+ตราด!M34+นครนายก!M34+นครปฐม!M34+ปทุมธานี!M34+ประจวบคีรีขันธ์!M34+ปราจีนบุรี!M34+พระนครศรีอยุธยา!M34+เพชรบุรี!M34+ระยอง!M34+ราชบุรี!M34+ลพบุรี!M34+สระแก้ว!M34+สระบุรี!M34+สิงห์บุรี!M34+สุพรรณบุรี!M34+อ่างทอง!M34</f>
        <v>0</v>
      </c>
      <c r="N34" s="49">
        <f t="shared" ref="N34:N37" si="4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49">
        <f ca="1">กาญจนบุรี!L35+จันทบุรี!L35+ฉะเชิงเทรา!L35+ชลบุรี!L35+ชัยนาท!L35+ตราด!L35+นครนายก!L35+นครปฐม!L35+ปทุมธานี!L35+ประจวบคีรีขันธ์!L35+ปราจีนบุรี!L35+พระนครศรีอยุธยา!L35+เพชรบุรี!L35+ระยอง!L35+ราชบุรี!L35+ลพบุรี!L35+สระแก้ว!L35+สระบุรี!L35+สิงห์บุรี!L35+สุพรรณบุรี!L35+อ่างทอง!L35</f>
        <v>754540</v>
      </c>
      <c r="M35" s="49">
        <f>กาญจนบุรี!M35+จันทบุรี!M35+ฉะเชิงเทรา!M35+ชลบุรี!M35+ชัยนาท!M35+ตราด!M35+นครนายก!M35+นครปฐม!M35+ปทุมธานี!M35+ประจวบคีรีขันธ์!M35+ปราจีนบุรี!M35+พระนครศรีอยุธยา!M35+เพชรบุรี!M35+ระยอง!M35+ราชบุรี!M35+ลพบุรี!M35+สระแก้ว!M35+สระบุรี!M35+สิงห์บุรี!M35+สุพรรณบุรี!M35+อ่างทอง!M35</f>
        <v>10780</v>
      </c>
      <c r="N35" s="49">
        <f t="shared" ca="1" si="4"/>
        <v>1.4286850266387467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กาญจนบุรี!L36+จันทบุรี!L36+ฉะเชิงเทรา!L36+ชลบุรี!L36+ชัยนาท!L36+ตราด!L36+นครนายก!L36+นครปฐม!L36+ปทุมธานี!L36+ประจวบคีรีขันธ์!L36+ปราจีนบุรี!L36+พระนครศรีอยุธยา!L36+เพชรบุรี!L36+ระยอง!L36+ราชบุรี!L36+ลพบุรี!L36+สระแก้ว!L36+สระบุรี!L36+สิงห์บุรี!L36+สุพรรณบุรี!L36+อ่างทอง!L36</f>
        <v>0</v>
      </c>
      <c r="M36" s="52">
        <f>กาญจนบุรี!M36+จันทบุรี!M36+ฉะเชิงเทรา!M36+ชลบุรี!M36+ชัยนาท!M36+ตราด!M36+นครนายก!M36+นครปฐม!M36+ปทุมธานี!M36+ประจวบคีรีขันธ์!M36+ปราจีนบุรี!M36+พระนครศรีอยุธยา!M36+เพชรบุรี!M36+ระยอง!M36+ราชบุรี!M36+ลพบุรี!M36+สระแก้ว!M36+สระบุรี!M36+สิงห์บุรี!M36+สุพรรณบุรี!M36+อ่างทอง!M36</f>
        <v>0</v>
      </c>
      <c r="N36" s="52">
        <f t="shared" ca="1" si="4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47"/>
      <c r="K37" s="48"/>
      <c r="L37" s="52">
        <f ca="1">กาญจนบุรี!L37+จันทบุรี!L37+ฉะเชิงเทรา!L37+ชลบุรี!L37+ชัยนาท!L37+ตราด!L37+นครนายก!L37+นครปฐม!L37+ปทุมธานี!L37+ประจวบคีรีขันธ์!L37+ปราจีนบุรี!L37+พระนครศรีอยุธยา!L37+เพชรบุรี!L37+ระยอง!L37+ราชบุรี!L37+ลพบุรี!L37+สระแก้ว!L37+สระบุรี!L37+สิงห์บุรี!L37+สุพรรณบุรี!L37+อ่างทอง!L37</f>
        <v>754540</v>
      </c>
      <c r="M37" s="53">
        <f>กาญจนบุรี!M37+จันทบุรี!M37+ฉะเชิงเทรา!M37+ชลบุรี!M37+ชัยนาท!M37+ตราด!M37+นครนายก!M37+นครปฐม!M37+ปทุมธานี!M37+ประจวบคีรีขันธ์!M37+ปราจีนบุรี!M37+พระนครศรีอยุธยา!M37+เพชรบุรี!M37+ระยอง!M37+ราชบุรี!M37+ลพบุรี!M37+สระแก้ว!M37+สระบุรี!M37+สิงห์บุรี!M37+สุพรรณบุรี!M37+อ่างทอง!M37</f>
        <v>10780</v>
      </c>
      <c r="N37" s="52">
        <f t="shared" ca="1" si="4"/>
        <v>1.4286850266387467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47"/>
      <c r="K38" s="48"/>
      <c r="L38" s="60"/>
      <c r="M38" s="60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7">
        <f>กาญจนบุรี!J39+จันทบุรี!J39+ฉะเชิงเทรา!J39+ชลบุรี!J39+ชัยนาท!J39+ตราด!J39+นครนายก!J39+นครปฐม!J39+ปทุมธานี!J39+ประจวบคีรีขันธ์!J39+ปราจีนบุรี!J39+พระนครศรีอยุธยา!J39+เพชรบุรี!J39+ระยอง!J39+ราชบุรี!J39+ลพบุรี!J39+สระแก้ว!J39+สระบุรี!J39+สิงห์บุรี!J39+สุพรรณบุรี!J39+อ่างทอง!J39</f>
        <v>2</v>
      </c>
      <c r="K39" s="48"/>
      <c r="L39" s="60"/>
      <c r="M39" s="60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7">
        <f>กาญจนบุรี!J40+จันทบุรี!J40+ฉะเชิงเทรา!J40+ชลบุรี!J40+ชัยนาท!J40+ตราด!J40+นครนายก!J40+นครปฐม!J40+ปทุมธานี!J40+ประจวบคีรีขันธ์!J40+ปราจีนบุรี!J40+พระนครศรีอยุธยา!J40+เพชรบุรี!J40+ระยอง!J40+ราชบุรี!J40+ลพบุรี!J40+สระแก้ว!J40+สระบุรี!J40+สิงห์บุรี!J40+สุพรรณบุรี!J40+อ่างทอง!J40</f>
        <v>2</v>
      </c>
      <c r="K40" s="48"/>
      <c r="L40" s="60" t="s">
        <v>21</v>
      </c>
      <c r="M40" s="60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7">
        <f>กาญจนบุรี!J41+จันทบุรี!J41+ฉะเชิงเทรา!J41+ชลบุรี!J41+ชัยนาท!J41+ตราด!J41+นครนายก!J41+นครปฐม!J41+ปทุมธานี!J41+ประจวบคีรีขันธ์!J41+ปราจีนบุรี!J41+พระนครศรีอยุธยา!J41+เพชรบุรี!J41+ระยอง!J41+ราชบุรี!J41+ลพบุรี!J41+สระแก้ว!J41+สระบุรี!J41+สิงห์บุรี!J41+สุพรรณบุรี!J41+อ่างทอง!J41</f>
        <v>3</v>
      </c>
      <c r="K41" s="48"/>
      <c r="L41" s="60"/>
      <c r="M41" s="60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7">
        <f>กาญจนบุรี!J42+จันทบุรี!J42+ฉะเชิงเทรา!J42+ชลบุรี!J42+ชัยนาท!J42+ตราด!J42+นครนายก!J42+นครปฐม!J42+ปทุมธานี!J42+ประจวบคีรีขันธ์!J42+ปราจีนบุรี!J42+พระนครศรีอยุธยา!J42+เพชรบุรี!J42+ระยอง!J42+ราชบุรี!J42+ลพบุรี!J42+สระแก้ว!J42+สระบุรี!J42+สิงห์บุรี!J42+สุพรรณบุรี!J42+อ่างทอง!J42</f>
        <v>2</v>
      </c>
      <c r="K42" s="48"/>
      <c r="L42" s="60"/>
      <c r="M42" s="60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66">
        <f ca="1">กาญจนบุรี!I43+จันทบุรี!I43+ฉะเชิงเทรา!I43+ชลบุรี!I43+ชัยนาท!I43+ตราด!I43+นครนายก!I43+นครปฐม!I43+ปทุมธานี!I43+ประจวบคีรีขันธ์!I43+ปราจีนบุรี!I43+พระนครศรีอยุธยา!I43+เพชรบุรี!I43+ระยอง!I43+ราชบุรี!I43+ลพบุรี!I43+สระแก้ว!I43+สระบุรี!I43+สิงห์บุรี!I43+สุพรรณบุรี!I43+อ่างทอง!I43</f>
        <v>6</v>
      </c>
      <c r="J43" s="67">
        <f>กาญจนบุรี!J43+จันทบุรี!J43+ฉะเชิงเทรา!J43+ชลบุรี!J43+ชัยนาท!J43+ตราด!J43+นครนายก!J43+นครปฐม!J43+ปทุมธานี!J43+ประจวบคีรีขันธ์!J43+ปราจีนบุรี!J43+พระนครศรีอยุธยา!J43+เพชรบุรี!J43+ระยอง!J43+ราชบุรี!J43+ลพบุรี!J43+สระแก้ว!J43+สระบุรี!J43+สิงห์บุรี!J43+สุพรรณบุรี!J43+อ่างทอง!J43</f>
        <v>0</v>
      </c>
      <c r="K43" s="48">
        <f t="shared" ref="K43:K48" ca="1" si="5">IF(I43&gt;0,J43*100/I43,0)</f>
        <v>0</v>
      </c>
      <c r="L43" s="60"/>
      <c r="M43" s="60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66">
        <f ca="1">กาญจนบุรี!I44+จันทบุรี!I44+ฉะเชิงเทรา!I44+ชลบุรี!I44+ชัยนาท!I44+ตราด!I44+นครนายก!I44+นครปฐม!I44+ปทุมธานี!I44+ประจวบคีรีขันธ์!I44+ปราจีนบุรี!I44+พระนครศรีอยุธยา!I44+เพชรบุรี!I44+ระยอง!I44+ราชบุรี!I44+ลพบุรี!I44+สระแก้ว!I44+สระบุรี!I44+สิงห์บุรี!I44+สุพรรณบุรี!I44+อ่างทอง!I44</f>
        <v>29</v>
      </c>
      <c r="J44" s="67">
        <f>กาญจนบุรี!J44+จันทบุรี!J44+ฉะเชิงเทรา!J44+ชลบุรี!J44+ชัยนาท!J44+ตราด!J44+นครนายก!J44+นครปฐม!J44+ปทุมธานี!J44+ประจวบคีรีขันธ์!J44+ปราจีนบุรี!J44+พระนครศรีอยุธยา!J44+เพชรบุรี!J44+ระยอง!J44+ราชบุรี!J44+ลพบุรี!J44+สระแก้ว!J44+สระบุรี!J44+สิงห์บุรี!J44+สุพรรณบุรี!J44+อ่างทอง!J44</f>
        <v>0</v>
      </c>
      <c r="K44" s="48">
        <f t="shared" ca="1" si="5"/>
        <v>0</v>
      </c>
      <c r="L44" s="60"/>
      <c r="M44" s="60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66">
        <f ca="1">กาญจนบุรี!I45+จันทบุรี!I45+ฉะเชิงเทรา!I45+ชลบุรี!I45+ชัยนาท!I45+ตราด!I45+นครนายก!I45+นครปฐม!I45+ปทุมธานี!I45+ประจวบคีรีขันธ์!I45+ปราจีนบุรี!I45+พระนครศรีอยุธยา!I45+เพชรบุรี!I45+ระยอง!I45+ราชบุรี!I45+ลพบุรี!I45+สระแก้ว!I45+สระบุรี!I45+สิงห์บุรี!I45+สุพรรณบุรี!I45+อ่างทอง!I45</f>
        <v>29</v>
      </c>
      <c r="J45" s="67">
        <f>กาญจนบุรี!J45+จันทบุรี!J45+ฉะเชิงเทรา!J45+ชลบุรี!J45+ชัยนาท!J45+ตราด!J45+นครนายก!J45+นครปฐม!J45+ปทุมธานี!J45+ประจวบคีรีขันธ์!J45+ปราจีนบุรี!J45+พระนครศรีอยุธยา!J45+เพชรบุรี!J45+ระยอง!J45+ราชบุรี!J45+ลพบุรี!J45+สระแก้ว!J45+สระบุรี!J45+สิงห์บุรี!J45+สุพรรณบุรี!J45+อ่างทอง!J45</f>
        <v>0</v>
      </c>
      <c r="K45" s="48">
        <f t="shared" ca="1" si="5"/>
        <v>0</v>
      </c>
      <c r="L45" s="60"/>
      <c r="M45" s="60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กาญจนบุรี!I46+จันทบุรี!I46+ฉะเชิงเทรา!I46+ชลบุรี!I46+ชัยนาท!I46+ตราด!I46+นครนายก!I46+นครปฐม!I46+ปทุมธานี!I46+ประจวบคีรีขันธ์!I46+ปราจีนบุรี!I46+พระนครศรีอยุธยา!I46+เพชรบุรี!I46+ระยอง!I46+ราชบุรี!I46+ลพบุรี!I46+สระแก้ว!I46+สระบุรี!I46+สิงห์บุรี!I46+สุพรรณบุรี!I46+อ่างทอง!I46</f>
        <v>29</v>
      </c>
      <c r="J46" s="67">
        <f>กาญจนบุรี!J46+จันทบุรี!J46+ฉะเชิงเทรา!J46+ชลบุรี!J46+ชัยนาท!J46+ตราด!J46+นครนายก!J46+นครปฐม!J46+ปทุมธานี!J46+ประจวบคีรีขันธ์!J46+ปราจีนบุรี!J46+พระนครศรีอยุธยา!J46+เพชรบุรี!J46+ระยอง!J46+ราชบุรี!J46+ลพบุรี!J46+สระแก้ว!J46+สระบุรี!J46+สิงห์บุรี!J46+สุพรรณบุรี!J46+อ่างทอง!J46</f>
        <v>0</v>
      </c>
      <c r="K46" s="48">
        <f t="shared" ca="1" si="5"/>
        <v>0</v>
      </c>
      <c r="L46" s="60"/>
      <c r="M46" s="60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กาญจนบุรี!I47+จันทบุรี!I47+ฉะเชิงเทรา!I47+ชลบุรี!I47+ชัยนาท!I47+ตราด!I47+นครนายก!I47+นครปฐม!I47+ปทุมธานี!I47+ประจวบคีรีขันธ์!I47+ปราจีนบุรี!I47+พระนครศรีอยุธยา!I47+เพชรบุรี!I47+ระยอง!I47+ราชบุรี!I47+ลพบุรี!I47+สระแก้ว!I47+สระบุรี!I47+สิงห์บุรี!I47+สุพรรณบุรี!I47+อ่างทอง!I47</f>
        <v>29</v>
      </c>
      <c r="J47" s="67">
        <f>กาญจนบุรี!J47+จันทบุรี!J47+ฉะเชิงเทรา!J47+ชลบุรี!J47+ชัยนาท!J47+ตราด!J47+นครนายก!J47+นครปฐม!J47+ปทุมธานี!J47+ประจวบคีรีขันธ์!J47+ปราจีนบุรี!J47+พระนครศรีอยุธยา!J47+เพชรบุรี!J47+ระยอง!J47+ราชบุรี!J47+ลพบุรี!J47+สระแก้ว!J47+สระบุรี!J47+สิงห์บุรี!J47+สุพรรณบุรี!J47+อ่างทอง!J47</f>
        <v>0</v>
      </c>
      <c r="K47" s="48">
        <f t="shared" ca="1" si="5"/>
        <v>0</v>
      </c>
      <c r="L47" s="60"/>
      <c r="M47" s="60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กาญจนบุรี!I48+จันทบุรี!I48+ฉะเชิงเทรา!I48+ชลบุรี!I48+ชัยนาท!I48+ตราด!I48+นครนายก!I48+นครปฐม!I48+ปทุมธานี!I48+ประจวบคีรีขันธ์!I48+ปราจีนบุรี!I48+พระนครศรีอยุธยา!I48+เพชรบุรี!I48+ระยอง!I48+ราชบุรี!I48+ลพบุรี!I48+สระแก้ว!I48+สระบุรี!I48+สิงห์บุรี!I48+สุพรรณบุรี!I48+อ่างทอง!I48</f>
        <v>8</v>
      </c>
      <c r="J48" s="67">
        <f>กาญจนบุรี!J48+จันทบุรี!J48+ฉะเชิงเทรา!J48+ชลบุรี!J48+ชัยนาท!J48+ตราด!J48+นครนายก!J48+นครปฐม!J48+ปทุมธานี!J48+ประจวบคีรีขันธ์!J48+ปราจีนบุรี!J48+พระนครศรีอยุธยา!J48+เพชรบุรี!J48+ระยอง!J48+ราชบุรี!J48+ลพบุรี!J48+สระแก้ว!J48+สระบุรี!J48+สิงห์บุรี!J48+สุพรรณบุรี!J48+อ่างทอง!J48</f>
        <v>0</v>
      </c>
      <c r="K48" s="48">
        <f t="shared" ca="1" si="5"/>
        <v>0</v>
      </c>
      <c r="L48" s="60"/>
      <c r="M48" s="60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7">
        <f>กาญจนบุรี!J49+จันทบุรี!J49+ฉะเชิงเทรา!J49+ชลบุรี!J49+ชัยนาท!J49+ตราด!J49+นครนายก!J49+นครปฐม!J49+ปทุมธานี!J49+ประจวบคีรีขันธ์!J49+ปราจีนบุรี!J49+พระนครศรีอยุธยา!J49+เพชรบุรี!J49+ระยอง!J49+ราชบุรี!J49+ลพบุรี!J49+สระแก้ว!J49+สระบุรี!J49+สิงห์บุรี!J49+สุพรรณบุรี!J49+อ่างทอง!J49</f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84">
        <f>กาญจนบุรี!J50+จันทบุรี!J50+ฉะเชิงเทรา!J50+ชลบุรี!J50+ชัยนาท!J50+ตราด!J50+นครนายก!J50+นครปฐม!J50+ปทุมธานี!J50+ประจวบคีรีขันธ์!J50+ปราจีนบุรี!J50+พระนครศรีอยุธยา!J50+เพชรบุรี!J50+ระยอง!J50+ราชบุรี!J50+ลพบุรี!J50+สระแก้ว!J50+สระบุรี!J50+สิงห์บุรี!J50+สุพรรณบุรี!J50+อ่างทอง!J50</f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กาญจนบุรี!I52+จันทบุรี!I52+ฉะเชิงเทรา!I52+ชลบุรี!I52+ชัยนาท!I52+ตราด!I52+นครนายก!I52+นครปฐม!I52+ปทุมธานี!I52+ประจวบคีรีขันธ์!I52+ปราจีนบุรี!I52+พระนครศรีอยุธยา!I52+เพชรบุรี!I52+ระยอง!I52+ราชบุรี!I52+ลพบุรี!I52+สระแก้ว!I52+สระบุรี!I52+สิงห์บุรี!I52+สุพรรณบุรี!I52+อ่างทอง!I52</f>
        <v>105</v>
      </c>
      <c r="J52" s="38">
        <f>กาญจนบุรี!J52+จันทบุรี!J52+ฉะเชิงเทรา!J52+ชลบุรี!J52+ชัยนาท!J52+ตราด!J52+นครนายก!J52+นครปฐม!J52+ปทุมธานี!J52+ประจวบคีรีขันธ์!J52+ปราจีนบุรี!J52+พระนครศรีอยุธยา!J52+เพชรบุรี!J52+ระยอง!J52+ราชบุรี!J52+ลพบุรี!J52+สระแก้ว!J52+สระบุรี!J52+สิงห์บุรี!J52+สุพรรณบุรี!J52+อ่างทอง!J52</f>
        <v>0</v>
      </c>
      <c r="K52" s="39">
        <f ca="1">IF(I52&gt;0,J52*100/I52,0)</f>
        <v>0</v>
      </c>
      <c r="L52" s="40">
        <f ca="1">กาญจนบุรี!L52+จันทบุรี!L52+ฉะเชิงเทรา!L52+ชลบุรี!L52+ชัยนาท!L52+ตราด!L52+นครนายก!L52+นครปฐม!L52+ปทุมธานี!L52+ประจวบคีรีขันธ์!L52+ปราจีนบุรี!L52+พระนครศรีอยุธยา!L52+เพชรบุรี!L52+ระยอง!L52+ราชบุรี!L52+ลพบุรี!L52+สระแก้ว!L52+สระบุรี!L52+สิงห์บุรี!L52+สุพรรณบุรี!L52+อ่างทอง!L52</f>
        <v>441990</v>
      </c>
      <c r="M52" s="40">
        <f>กาญจนบุรี!M52+จันทบุรี!M52+ฉะเชิงเทรา!M52+ชลบุรี!M52+ชัยนาท!M52+ตราด!M52+นครนายก!M52+นครปฐม!M52+ปทุมธานี!M52+ประจวบคีรีขันธ์!M52+ปราจีนบุรี!M52+พระนครศรีอยุธยา!M52+เพชรบุรี!M52+ระยอง!M52+ราชบุรี!M52+ลพบุรี!M52+สระแก้ว!M52+สระบุรี!M52+สิงห์บุรี!M52+สุพรรณบุรี!M52+อ่างทอง!M52</f>
        <v>19260</v>
      </c>
      <c r="N52" s="39">
        <f ca="1">IF(L52&gt;0,M52*100/L52,0)</f>
        <v>4.3575646507839547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f>กาญจนบุรี!L53+จันทบุรี!L53+ฉะเชิงเทรา!L53+ชลบุรี!L53+ชัยนาท!L53+ตราด!L53+นครนายก!L53+นครปฐม!L53+ปทุมธานี!L53+ประจวบคีรีขันธ์!L53+ปราจีนบุรี!L53+พระนครศรีอยุธยา!L53+เพชรบุรี!L53+ระยอง!L53+ราชบุรี!L53+ลพบุรี!L53+สระแก้ว!L53+สระบุรี!L53+สิงห์บุรี!L53+สุพรรณบุรี!L53+อ่างทอง!L53</f>
        <v>0</v>
      </c>
      <c r="M53" s="49">
        <f>กาญจนบุรี!M53+จันทบุรี!M53+ฉะเชิงเทรา!M53+ชลบุรี!M53+ชัยนาท!M53+ตราด!M53+นครนายก!M53+นครปฐม!M53+ปทุมธานี!M53+ประจวบคีรีขันธ์!M53+ปราจีนบุรี!M53+พระนครศรีอยุธยา!M53+เพชรบุรี!M53+ระยอง!M53+ราชบุรี!M53+ลพบุรี!M53+สระแก้ว!M53+สระบุรี!M53+สิงห์บุรี!M53+สุพรรณบุรี!M53+อ่างทอง!M53</f>
        <v>0</v>
      </c>
      <c r="N53" s="49">
        <f t="shared" ref="N53:N56" si="6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ca="1">กาญจนบุรี!L54+จันทบุรี!L54+ฉะเชิงเทรา!L54+ชลบุรี!L54+ชัยนาท!L54+ตราด!L54+นครนายก!L54+นครปฐม!L54+ปทุมธานี!L54+ประจวบคีรีขันธ์!L54+ปราจีนบุรี!L54+พระนครศรีอยุธยา!L54+เพชรบุรี!L54+ระยอง!L54+ราชบุรี!L54+ลพบุรี!L54+สระแก้ว!L54+สระบุรี!L54+สิงห์บุรี!L54+สุพรรณบุรี!L54+อ่างทอง!L54</f>
        <v>441990</v>
      </c>
      <c r="M54" s="49">
        <f>กาญจนบุรี!M54+จันทบุรี!M54+ฉะเชิงเทรา!M54+ชลบุรี!M54+ชัยนาท!M54+ตราด!M54+นครนายก!M54+นครปฐม!M54+ปทุมธานี!M54+ประจวบคีรีขันธ์!M54+ปราจีนบุรี!M54+พระนครศรีอยุธยา!M54+เพชรบุรี!M54+ระยอง!M54+ราชบุรี!M54+ลพบุรี!M54+สระแก้ว!M54+สระบุรี!M54+สิงห์บุรี!M54+สุพรรณบุรี!M54+อ่างทอง!M54</f>
        <v>19260</v>
      </c>
      <c r="N54" s="49">
        <f t="shared" ca="1" si="6"/>
        <v>4.3575646507839547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กาญจนบุรี!L55+จันทบุรี!L55+ฉะเชิงเทรา!L55+ชลบุรี!L55+ชัยนาท!L55+ตราด!L55+นครนายก!L55+นครปฐม!L55+ปทุมธานี!L55+ประจวบคีรีขันธ์!L55+ปราจีนบุรี!L55+พระนครศรีอยุธยา!L55+เพชรบุรี!L55+ระยอง!L55+ราชบุรี!L55+ลพบุรี!L55+สระแก้ว!L55+สระบุรี!L55+สิงห์บุรี!L55+สุพรรณบุรี!L55+อ่างทอง!L55</f>
        <v>0</v>
      </c>
      <c r="M55" s="52">
        <f>กาญจนบุรี!M55+จันทบุรี!M55+ฉะเชิงเทรา!M55+ชลบุรี!M55+ชัยนาท!M55+ตราด!M55+นครนายก!M55+นครปฐม!M55+ปทุมธานี!M55+ประจวบคีรีขันธ์!M55+ปราจีนบุรี!M55+พระนครศรีอยุธยา!M55+เพชรบุรี!M55+ระยอง!M55+ราชบุรี!M55+ลพบุรี!M55+สระแก้ว!M55+สระบุรี!M55+สิงห์บุรี!M55+สุพรรณบุรี!M55+อ่างทอง!M55</f>
        <v>0</v>
      </c>
      <c r="N55" s="52">
        <f t="shared" ca="1" si="6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47"/>
      <c r="K56" s="48"/>
      <c r="L56" s="52">
        <f ca="1">กาญจนบุรี!L56+จันทบุรี!L56+ฉะเชิงเทรา!L56+ชลบุรี!L56+ชัยนาท!L56+ตราด!L56+นครนายก!L56+นครปฐม!L56+ปทุมธานี!L56+ประจวบคีรีขันธ์!L56+ปราจีนบุรี!L56+พระนครศรีอยุธยา!L56+เพชรบุรี!L56+ระยอง!L56+ราชบุรี!L56+ลพบุรี!L56+สระแก้ว!L56+สระบุรี!L56+สิงห์บุรี!L56+สุพรรณบุรี!L56+อ่างทอง!L56</f>
        <v>441990</v>
      </c>
      <c r="M56" s="53">
        <f>กาญจนบุรี!M56+จันทบุรี!M56+ฉะเชิงเทรา!M56+ชลบุรี!M56+ชัยนาท!M56+ตราด!M56+นครนายก!M56+นครปฐม!M56+ปทุมธานี!M56+ประจวบคีรีขันธ์!M56+ปราจีนบุรี!M56+พระนครศรีอยุธยา!M56+เพชรบุรี!M56+ระยอง!M56+ราชบุรี!M56+ลพบุรี!M56+สระแก้ว!M56+สระบุรี!M56+สิงห์บุรี!M56+สุพรรณบุรี!M56+อ่างทอง!M56</f>
        <v>19260</v>
      </c>
      <c r="N56" s="52">
        <f t="shared" ca="1" si="6"/>
        <v>4.3575646507839547</v>
      </c>
    </row>
    <row r="57" spans="1:14" ht="21.75" customHeight="1" x14ac:dyDescent="0.55000000000000004">
      <c r="A57" s="54"/>
      <c r="B57" s="55"/>
      <c r="C57" s="42" t="s">
        <v>17</v>
      </c>
      <c r="D57" s="56" t="s">
        <v>246</v>
      </c>
      <c r="E57" s="57"/>
      <c r="F57" s="57"/>
      <c r="G57" s="58"/>
      <c r="H57" s="59"/>
      <c r="I57" s="47"/>
      <c r="J57" s="47"/>
      <c r="K57" s="48"/>
      <c r="L57" s="60"/>
      <c r="M57" s="60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7">
        <f>กาญจนบุรี!J58+จันทบุรี!J58+ฉะเชิงเทรา!J58+ชลบุรี!J58+ชัยนาท!J58+ตราด!J58+นครนายก!J58+นครปฐม!J58+ปทุมธานี!J58+ประจวบคีรีขันธ์!J58+ปราจีนบุรี!J58+พระนครศรีอยุธยา!J58+เพชรบุรี!J58+ระยอง!J58+ราชบุรี!J58+ลพบุรี!J58+สระแก้ว!J58+สระบุรี!J58+สิงห์บุรี!J58+สุพรรณบุรี!J58+อ่างทอง!J58</f>
        <v>3</v>
      </c>
      <c r="K58" s="48"/>
      <c r="L58" s="60"/>
      <c r="M58" s="60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7">
        <f>กาญจนบุรี!J59+จันทบุรี!J59+ฉะเชิงเทรา!J59+ชลบุรี!J59+ชัยนาท!J59+ตราด!J59+นครนายก!J59+นครปฐม!J59+ปทุมธานี!J59+ประจวบคีรีขันธ์!J59+ปราจีนบุรี!J59+พระนครศรีอยุธยา!J59+เพชรบุรี!J59+ระยอง!J59+ราชบุรี!J59+ลพบุรี!J59+สระแก้ว!J59+สระบุรี!J59+สิงห์บุรี!J59+สุพรรณบุรี!J59+อ่างทอง!J59</f>
        <v>2</v>
      </c>
      <c r="K59" s="48"/>
      <c r="L59" s="60" t="s">
        <v>21</v>
      </c>
      <c r="M59" s="60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7">
        <f>กาญจนบุรี!J60+จันทบุรี!J60+ฉะเชิงเทรา!J60+ชลบุรี!J60+ชัยนาท!J60+ตราด!J60+นครนายก!J60+นครปฐม!J60+ปทุมธานี!J60+ประจวบคีรีขันธ์!J60+ปราจีนบุรี!J60+พระนครศรีอยุธยา!J60+เพชรบุรี!J60+ระยอง!J60+ราชบุรี!J60+ลพบุรี!J60+สระแก้ว!J60+สระบุรี!J60+สิงห์บุรี!J60+สุพรรณบุรี!J60+อ่างทอง!J60</f>
        <v>2</v>
      </c>
      <c r="K60" s="48"/>
      <c r="L60" s="60"/>
      <c r="M60" s="60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7">
        <f>กาญจนบุรี!J61+จันทบุรี!J61+ฉะเชิงเทรา!J61+ชลบุรี!J61+ชัยนาท!J61+ตราด!J61+นครนายก!J61+นครปฐม!J61+ปทุมธานี!J61+ประจวบคีรีขันธ์!J61+ปราจีนบุรี!J61+พระนครศรีอยุธยา!J61+เพชรบุรี!J61+ระยอง!J61+ราชบุรี!J61+ลพบุรี!J61+สระแก้ว!J61+สระบุรี!J61+สิงห์บุรี!J61+สุพรรณบุรี!J61+อ่างทอง!J61</f>
        <v>1</v>
      </c>
      <c r="K61" s="48"/>
      <c r="L61" s="60"/>
      <c r="M61" s="60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กาญจนบุรี!I62+จันทบุรี!I62+ฉะเชิงเทรา!I62+ชลบุรี!I62+ชัยนาท!I62+ตราด!I62+นครนายก!I62+นครปฐม!I62+ปทุมธานี!I62+ประจวบคีรีขันธ์!I62+ปราจีนบุรี!I62+พระนครศรีอยุธยา!I62+เพชรบุรี!I62+ระยอง!I62+ราชบุรี!I62+ลพบุรี!I62+สระแก้ว!I62+สระบุรี!I62+สิงห์บุรี!I62+สุพรรณบุรี!I62+อ่างทอง!I62</f>
        <v>105</v>
      </c>
      <c r="J62" s="67">
        <f>กาญจนบุรี!J62+จันทบุรี!J62+ฉะเชิงเทรา!J62+ชลบุรี!J62+ชัยนาท!J62+ตราด!J62+นครนายก!J62+นครปฐม!J62+ปทุมธานี!J62+ประจวบคีรีขันธ์!J62+ปราจีนบุรี!J62+พระนครศรีอยุธยา!J62+เพชรบุรี!J62+ระยอง!J62+ราชบุรี!J62+ลพบุรี!J62+สระแก้ว!J62+สระบุรี!J62+สิงห์บุรี!J62+สุพรรณบุรี!J62+อ่างทอง!J62</f>
        <v>0</v>
      </c>
      <c r="K62" s="48">
        <f t="shared" ref="K62:K63" ca="1" si="7">IF(I62&gt;0,J62*100/I62,0)</f>
        <v>0</v>
      </c>
      <c r="L62" s="60"/>
      <c r="M62" s="60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กาญจนบุรี!I63+จันทบุรี!I63+ฉะเชิงเทรา!I63+ชลบุรี!I63+ชัยนาท!I63+ตราด!I63+นครนายก!I63+นครปฐม!I63+ปทุมธานี!I63+ประจวบคีรีขันธ์!I63+ปราจีนบุรี!I63+พระนครศรีอยุธยา!I63+เพชรบุรี!I63+ระยอง!I63+ราชบุรี!I63+ลพบุรี!I63+สระแก้ว!I63+สระบุรี!I63+สิงห์บุรี!I63+สุพรรณบุรี!I63+อ่างทอง!I63</f>
        <v>105</v>
      </c>
      <c r="J63" s="67">
        <f>กาญจนบุรี!J63+จันทบุรี!J63+ฉะเชิงเทรา!J63+ชลบุรี!J63+ชัยนาท!J63+ตราด!J63+นครนายก!J63+นครปฐม!J63+ปทุมธานี!J63+ประจวบคีรีขันธ์!J63+ปราจีนบุรี!J63+พระนครศรีอยุธยา!J63+เพชรบุรี!J63+ระยอง!J63+ราชบุรี!J63+ลพบุรี!J63+สระแก้ว!J63+สระบุรี!J63+สิงห์บุรี!J63+สุพรรณบุรี!J63+อ่างทอง!J63</f>
        <v>0</v>
      </c>
      <c r="K63" s="48">
        <f t="shared" ca="1" si="7"/>
        <v>0</v>
      </c>
      <c r="L63" s="60"/>
      <c r="M63" s="60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7">
        <f>กาญจนบุรี!J64+จันทบุรี!J64+ฉะเชิงเทรา!J64+ชลบุรี!J64+ชัยนาท!J64+ตราด!J64+นครนายก!J64+นครปฐม!J64+ปทุมธานี!J64+ประจวบคีรีขันธ์!J64+ปราจีนบุรี!J64+พระนครศรีอยุธยา!J64+เพชรบุรี!J64+ระยอง!J64+ราชบุรี!J64+ลพบุรี!J64+สระแก้ว!J64+สระบุรี!J64+สิงห์บุรี!J64+สุพรรณบุรี!J64+อ่างทอง!J64</f>
        <v>0</v>
      </c>
      <c r="K64" s="48"/>
      <c r="L64" s="60"/>
      <c r="M64" s="60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112">
        <f>กาญจนบุรี!J65+จันทบุรี!J65+ฉะเชิงเทรา!J65+ชลบุรี!J65+ชัยนาท!J65+ตราด!J65+นครนายก!J65+นครปฐม!J65+ปทุมธานี!J65+ประจวบคีรีขันธ์!J65+ปราจีนบุรี!J65+พระนครศรีอยุธยา!J65+เพชรบุรี!J65+ระยอง!J65+ราชบุรี!J65+ลพบุรี!J65+สระแก้ว!J65+สระบุรี!J65+สิงห์บุรี!J65+สุพรรณบุรี!J65+อ่างทอง!J65</f>
        <v>0</v>
      </c>
      <c r="K65" s="113"/>
      <c r="L65" s="114"/>
      <c r="M65" s="114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ca="1">กาญจนบุรี!I68+จันทบุรี!I68+ฉะเชิงเทรา!I68+ชลบุรี!I68+ชัยนาท!I68+ตราด!I68+นครนายก!I68+นครปฐม!I68+ปทุมธานี!I68+ประจวบคีรีขันธ์!I68+ปราจีนบุรี!I68+พระนครศรีอยุธยา!I68+เพชรบุรี!I68+ระยอง!I68+ราชบุรี!I68+ลพบุรี!I68+สระแก้ว!I68+สระบุรี!I68+สิงห์บุรี!I68+สุพรรณบุรี!I68+อ่างทอง!I68</f>
        <v>440</v>
      </c>
      <c r="J68" s="136">
        <f>กาญจนบุรี!J68+จันทบุรี!J68+ฉะเชิงเทรา!J68+ชลบุรี!J68+ชัยนาท!J68+ตราด!J68+นครนายก!J68+นครปฐม!J68+ปทุมธานี!J68+ประจวบคีรีขันธ์!J68+ปราจีนบุรี!J68+พระนครศรีอยุธยา!J68+เพชรบุรี!J68+ระยอง!J68+ราชบุรี!J68+ลพบุรี!J68+สระแก้ว!J68+สระบุรี!J68+สิงห์บุรี!J68+สุพรรณบุรี!J68+อ่างทอง!J68</f>
        <v>31</v>
      </c>
      <c r="K68" s="137">
        <f ca="1">IF(I68&gt;0,J68*100/I68,0)</f>
        <v>7.0454545454545459</v>
      </c>
      <c r="L68" s="138">
        <f ca="1">กาญจนบุรี!L68+จันทบุรี!L68+ฉะเชิงเทรา!L68+ชลบุรี!L68+ชัยนาท!L68+ตราด!L68+นครนายก!L68+นครปฐม!L68+ปทุมธานี!L68+ประจวบคีรีขันธ์!L68+ปราจีนบุรี!L68+พระนครศรีอยุธยา!L68+เพชรบุรี!L68+ระยอง!L68+ราชบุรี!L68+ลพบุรี!L68+สระแก้ว!L68+สระบุรี!L68+สิงห์บุรี!L68+สุพรรณบุรี!L68+อ่างทอง!L68</f>
        <v>6816300</v>
      </c>
      <c r="M68" s="138">
        <f>กาญจนบุรี!M68+จันทบุรี!M68+ฉะเชิงเทรา!M68+ชลบุรี!M68+ชัยนาท!M68+ตราด!M68+นครนายก!M68+นครปฐม!M68+ปทุมธานี!M68+ประจวบคีรีขันธ์!M68+ปราจีนบุรี!M68+พระนครศรีอยุธยา!M68+เพชรบุรี!M68+ระยอง!M68+ราชบุรี!M68+ลพบุรี!M68+สระแก้ว!M68+สระบุรี!M68+สิงห์บุรี!M68+สุพรรณบุรี!M68+อ่างทอง!M68</f>
        <v>121225.48</v>
      </c>
      <c r="N68" s="137">
        <f ca="1">IF(L68&gt;0,M68*100/L68,0)</f>
        <v>1.7784645628860232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f>กาญจนบุรี!L70+จันทบุรี!L70+ฉะเชิงเทรา!L70+ชลบุรี!L70+ชัยนาท!L70+ตราด!L70+นครนายก!L70+นครปฐม!L70+ปทุมธานี!L70+ประจวบคีรีขันธ์!L70+ปราจีนบุรี!L70+พระนครศรีอยุธยา!L70+เพชรบุรี!L70+ระยอง!L70+ราชบุรี!L70+ลพบุรี!L70+สระแก้ว!L70+สระบุรี!L70+สิงห์บุรี!L70+สุพรรณบุรี!L70+อ่างทอง!L70</f>
        <v>0</v>
      </c>
      <c r="M70" s="49">
        <f>กาญจนบุรี!M70+จันทบุรี!M70+ฉะเชิงเทรา!M70+ชลบุรี!M70+ชัยนาท!M70+ตราด!M70+นครนายก!M70+นครปฐม!M70+ปทุมธานี!M70+ประจวบคีรีขันธ์!M70+ปราจีนบุรี!M70+พระนครศรีอยุธยา!M70+เพชรบุรี!M70+ระยอง!M70+ราชบุรี!M70+ลพบุรี!M70+สระแก้ว!M70+สระบุรี!M70+สิงห์บุรี!M70+สุพรรณบุรี!M70+อ่างทอง!M70</f>
        <v>0</v>
      </c>
      <c r="N70" s="49">
        <f t="shared" ref="N70:N77" si="8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กาญจนบุรี!L71+จันทบุรี!L71+ฉะเชิงเทรา!L71+ชลบุรี!L71+ชัยนาท!L71+ตราด!L71+นครนายก!L71+นครปฐม!L71+ปทุมธานี!L71+ประจวบคีรีขันธ์!L71+ปราจีนบุรี!L71+พระนครศรีอยุธยา!L71+เพชรบุรี!L71+ระยอง!L71+ราชบุรี!L71+ลพบุรี!L71+สระแก้ว!L71+สระบุรี!L71+สิงห์บุรี!L71+สุพรรณบุรี!L71+อ่างทอง!L71</f>
        <v>6816300</v>
      </c>
      <c r="M71" s="139">
        <f>กาญจนบุรี!M71+จันทบุรี!M71+ฉะเชิงเทรา!M71+ชลบุรี!M71+ชัยนาท!M71+ตราด!M71+นครนายก!M71+นครปฐม!M71+ปทุมธานี!M71+ประจวบคีรีขันธ์!M71+ปราจีนบุรี!M71+พระนครศรีอยุธยา!M71+เพชรบุรี!M71+ระยอง!M71+ราชบุรี!M71+ลพบุรี!M71+สระแก้ว!M71+สระบุรี!M71+สิงห์บุรี!M71+สุพรรณบุรี!M71+อ่างทอง!M71</f>
        <v>121225.48</v>
      </c>
      <c r="N71" s="49">
        <f t="shared" ca="1" si="8"/>
        <v>1.7784645628860232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กาญจนบุรี!L72+จันทบุรี!L72+ฉะเชิงเทรา!L72+ชลบุรี!L72+ชัยนาท!L72+ตราด!L72+นครนายก!L72+นครปฐม!L72+ปทุมธานี!L72+ประจวบคีรีขันธ์!L72+ปราจีนบุรี!L72+พระนครศรีอยุธยา!L72+เพชรบุรี!L72+ระยอง!L72+ราชบุรี!L72+ลพบุรี!L72+สระแก้ว!L72+สระบุรี!L72+สิงห์บุรี!L72+สุพรรณบุรี!L72+อ่างทอง!L72</f>
        <v>3590600</v>
      </c>
      <c r="M72" s="53">
        <f>กาญจนบุรี!M72+จันทบุรี!M72+ฉะเชิงเทรา!M72+ชลบุรี!M72+ชัยนาท!M72+ตราด!M72+นครนายก!M72+นครปฐม!M72+ปทุมธานี!M72+ประจวบคีรีขันธ์!M72+ปราจีนบุรี!M72+พระนครศรีอยุธยา!M72+เพชรบุรี!M72+ระยอง!M72+ราชบุรี!M72+ลพบุรี!M72+สระแก้ว!M72+สระบุรี!M72+สิงห์บุรี!M72+สุพรรณบุรี!M72+อ่างทอง!M72</f>
        <v>55635.479999999996</v>
      </c>
      <c r="N72" s="52">
        <f t="shared" ca="1" si="8"/>
        <v>1.5494758536177797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ca="1">กาญจนบุรี!L73+จันทบุรี!L73+ฉะเชิงเทรา!L73+ชลบุรี!L73+ชัยนาท!L73+ตราด!L73+นครนายก!L73+นครปฐม!L73+ปทุมธานี!L73+ประจวบคีรีขันธ์!L73+ปราจีนบุรี!L73+พระนครศรีอยุธยา!L73+เพชรบุรี!L73+ระยอง!L73+ราชบุรี!L73+ลพบุรี!L73+สระแก้ว!L73+สระบุรี!L73+สิงห์บุรี!L73+สุพรรณบุรี!L73+อ่างทอง!L73</f>
        <v>3225700</v>
      </c>
      <c r="M73" s="52">
        <f>กาญจนบุรี!M73+จันทบุรี!M73+ฉะเชิงเทรา!M73+ชลบุรี!M73+ชัยนาท!M73+ตราด!M73+นครนายก!M73+นครปฐม!M73+ปทุมธานี!M73+ประจวบคีรีขันธ์!M73+ปราจีนบุรี!M73+พระนครศรีอยุธยา!M73+เพชรบุรี!M73+ระยอง!M73+ราชบุรี!M73+ลพบุรี!M73+สระแก้ว!M73+สระบุรี!M73+สิงห์บุรี!M73+สุพรรณบุรี!M73+อ่างทอง!M73</f>
        <v>65590</v>
      </c>
      <c r="N73" s="52">
        <f t="shared" ca="1" si="8"/>
        <v>2.0333571007843259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ca="1">กาญจนบุรี!I74+จันทบุรี!I74+ฉะเชิงเทรา!I74+ชลบุรี!I74+ชัยนาท!I74+ตราด!I74+นครนายก!I74+นครปฐม!I74+ปทุมธานี!I74+ประจวบคีรีขันธ์!I74+ปราจีนบุรี!I74+พระนครศรีอยุธยา!I74+เพชรบุรี!I74+ระยอง!I74+ราชบุรี!I74+ลพบุรี!I74+สระแก้ว!I74+สระบุรี!I74+สิงห์บุรี!I74+สุพรรณบุรี!I74+อ่างทอง!I74</f>
        <v>84</v>
      </c>
      <c r="J74" s="145">
        <f>กาญจนบุรี!J74+จันทบุรี!J74+ฉะเชิงเทรา!J74+ชลบุรี!J74+ชัยนาท!J74+ตราด!J74+นครนายก!J74+นครปฐม!J74+ปทุมธานี!J74+ประจวบคีรีขันธ์!J74+ปราจีนบุรี!J74+พระนครศรีอยุธยา!J74+เพชรบุรี!J74+ระยอง!J74+ราชบุรี!J74+ลพบุรี!J74+สระแก้ว!J74+สระบุรี!J74+สิงห์บุรี!J74+สุพรรณบุรี!J74+อ่างทอง!J74</f>
        <v>0</v>
      </c>
      <c r="K74" s="146">
        <f ca="1">IF(I74&gt;0,J74*100/I74,0)</f>
        <v>0</v>
      </c>
      <c r="L74" s="147">
        <f ca="1">กาญจนบุรี!L74+จันทบุรี!L74+ฉะเชิงเทรา!L74+ชลบุรี!L74+ชัยนาท!L74+ตราด!L74+นครนายก!L74+นครปฐม!L74+ปทุมธานี!L74+ประจวบคีรีขันธ์!L74+ปราจีนบุรี!L74+พระนครศรีอยุธยา!L74+เพชรบุรี!L74+ระยอง!L74+ราชบุรี!L74+ลพบุรี!L74+สระแก้ว!L74+สระบุรี!L74+สิงห์บุรี!L74+สุพรรณบุรี!L74+อ่างทอง!L74</f>
        <v>157500</v>
      </c>
      <c r="M74" s="147">
        <f>กาญจนบุรี!M74+จันทบุรี!M74+ฉะเชิงเทรา!M74+ชลบุรี!M74+ชัยนาท!M74+ตราด!M74+นครนายก!M74+นครปฐม!M74+ปทุมธานี!M74+ประจวบคีรีขันธ์!M74+ปราจีนบุรี!M74+พระนครศรีอยุธยา!M74+เพชรบุรี!M74+ระยอง!M74+ราชบุรี!M74+ลพบุรี!M74+สระแก้ว!M74+สระบุรี!M74+สิงห์บุรี!M74+สุพรรณบุรี!M74+อ่างทอง!M74</f>
        <v>0</v>
      </c>
      <c r="N74" s="147">
        <f t="shared" ca="1" si="8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f>กาญจนบุรี!L75+จันทบุรี!L75+ฉะเชิงเทรา!L75+ชลบุรี!L75+ชัยนาท!L75+ตราด!L75+นครนายก!L75+นครปฐม!L75+ปทุมธานี!L75+ประจวบคีรีขันธ์!L75+ปราจีนบุรี!L75+พระนครศรีอยุธยา!L75+เพชรบุรี!L75+ระยอง!L75+ราชบุรี!L75+ลพบุรี!L75+สระแก้ว!L75+สระบุรี!L75+สิงห์บุรี!L75+สุพรรณบุรี!L75+อ่างทอง!L75</f>
        <v>0</v>
      </c>
      <c r="M75" s="49">
        <f>กาญจนบุรี!M75+จันทบุรี!M75+ฉะเชิงเทรา!M75+ชลบุรี!M75+ชัยนาท!M75+ตราด!M75+นครนายก!M75+นครปฐม!M75+ปทุมธานี!M75+ประจวบคีรีขันธ์!M75+ปราจีนบุรี!M75+พระนครศรีอยุธยา!M75+เพชรบุรี!M75+ระยอง!M75+ราชบุรี!M75+ลพบุรี!M75+สระแก้ว!M75+สระบุรี!M75+สิงห์บุรี!M75+สุพรรณบุรี!M75+อ่างทอง!M75</f>
        <v>0</v>
      </c>
      <c r="N75" s="49">
        <f t="shared" si="8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ca="1">กาญจนบุรี!L76+จันทบุรี!L76+ฉะเชิงเทรา!L76+ชลบุรี!L76+ชัยนาท!L76+ตราด!L76+นครนายก!L76+นครปฐม!L76+ปทุมธานี!L76+ประจวบคีรีขันธ์!L76+ปราจีนบุรี!L76+พระนครศรีอยุธยา!L76+เพชรบุรี!L76+ระยอง!L76+ราชบุรี!L76+ลพบุรี!L76+สระแก้ว!L76+สระบุรี!L76+สิงห์บุรี!L76+สุพรรณบุรี!L76+อ่างทอง!L76</f>
        <v>157500</v>
      </c>
      <c r="M76" s="49">
        <f>กาญจนบุรี!M76+จันทบุรี!M76+ฉะเชิงเทรา!M76+ชลบุรี!M76+ชัยนาท!M76+ตราด!M76+นครนายก!M76+นครปฐม!M76+ปทุมธานี!M76+ประจวบคีรีขันธ์!M76+ปราจีนบุรี!M76+พระนครศรีอยุธยา!M76+เพชรบุรี!M76+ระยอง!M76+ราชบุรี!M76+ลพบุรี!M76+สระแก้ว!M76+สระบุรี!M76+สิงห์บุรี!M76+สุพรรณบุรี!M76+อ่างทอง!M76</f>
        <v>0</v>
      </c>
      <c r="N76" s="49">
        <f t="shared" ca="1" si="8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กาญจนบุรี!L77+จันทบุรี!L77+ฉะเชิงเทรา!L77+ชลบุรี!L77+ชัยนาท!L77+ตราด!L77+นครนายก!L77+นครปฐม!L77+ปทุมธานี!L77+ประจวบคีรีขันธ์!L77+ปราจีนบุรี!L77+พระนครศรีอยุธยา!L77+เพชรบุรี!L77+ระยอง!L77+ราชบุรี!L77+ลพบุรี!L77+สระแก้ว!L77+สระบุรี!L77+สิงห์บุรี!L77+สุพรรณบุรี!L77+อ่างทอง!L77</f>
        <v>157500</v>
      </c>
      <c r="M77" s="53">
        <f>กาญจนบุรี!M77+จันทบุรี!M77+ฉะเชิงเทรา!M77+ชลบุรี!M77+ชัยนาท!M77+ตราด!M77+นครนายก!M77+นครปฐม!M77+ปทุมธานี!M77+ประจวบคีรีขันธ์!M77+ปราจีนบุรี!M77+พระนครศรีอยุธยา!M77+เพชรบุรี!M77+ระยอง!M77+ราชบุรี!M77+ลพบุรี!M77+สระแก้ว!M77+สระบุรี!M77+สิงห์บุรี!M77+สุพรรณบุรี!M77+อ่างทอง!M77</f>
        <v>0</v>
      </c>
      <c r="N77" s="52">
        <f t="shared" ca="1" si="8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f>กาญจนบุรี!J79+จันทบุรี!J79+ฉะเชิงเทรา!J79+ชลบุรี!J79+ชัยนาท!J79+ตราด!J79+นครนายก!J79+นครปฐม!J79+ปทุมธานี!J79+ประจวบคีรีขันธ์!J79+ปราจีนบุรี!J79+พระนครศรีอยุธยา!J79+เพชรบุรี!J79+ระยอง!J79+ราชบุรี!J79+ลพบุรี!J79+สระแก้ว!J79+สระบุรี!J79+สิงห์บุรี!J79+สุพรรณบุรี!J79+อ่างทอง!J79</f>
        <v>11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f>กาญจนบุรี!J80+จันทบุรี!J80+ฉะเชิงเทรา!J80+ชลบุรี!J80+ชัยนาท!J80+ตราด!J80+นครนายก!J80+นครปฐม!J80+ปทุมธานี!J80+ประจวบคีรีขันธ์!J80+ปราจีนบุรี!J80+พระนครศรีอยุธยา!J80+เพชรบุรี!J80+ระยอง!J80+ราชบุรี!J80+ลพบุรี!J80+สระแก้ว!J80+สระบุรี!J80+สิงห์บุรี!J80+สุพรรณบุรี!J80+อ่างทอง!J80</f>
        <v>2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f>กาญจนบุรี!J81+จันทบุรี!J81+ฉะเชิงเทรา!J81+ชลบุรี!J81+ชัยนาท!J81+ตราด!J81+นครนายก!J81+นครปฐม!J81+ปทุมธานี!J81+ประจวบคีรีขันธ์!J81+ปราจีนบุรี!J81+พระนครศรีอยุธยา!J81+เพชรบุรี!J81+ระยอง!J81+ราชบุรี!J81+ลพบุรี!J81+สระแก้ว!J81+สระบุรี!J81+สิงห์บุรี!J81+สุพรรณบุรี!J81+อ่างทอง!J81</f>
        <v>2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f>กาญจนบุรี!J82+จันทบุรี!J82+ฉะเชิงเทรา!J82+ชลบุรี!J82+ชัยนาท!J82+ตราด!J82+นครนายก!J82+นครปฐม!J82+ปทุมธานี!J82+ประจวบคีรีขันธ์!J82+ปราจีนบุรี!J82+พระนครศรีอยุธยา!J82+เพชรบุรี!J82+ระยอง!J82+ราชบุรี!J82+ลพบุรี!J82+สระแก้ว!J82+สระบุรี!J82+สิงห์บุรี!J82+สุพรรณบุรี!J82+อ่างทอง!J82</f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v>4</v>
      </c>
      <c r="J83" s="67">
        <f>กาญจนบุรี!J83+จันทบุรี!J83+ฉะเชิงเทรา!J83+ชลบุรี!J83+ชัยนาท!J83+ตราด!J83+นครนายก!J83+นครปฐม!J83+ปทุมธานี!J83+ประจวบคีรีขันธ์!J83+ปราจีนบุรี!J83+พระนครศรีอยุธยา!J83+เพชรบุรี!J83+ระยอง!J83+ราชบุรี!J83+ลพบุรี!J83+สระแก้ว!J83+สระบุรี!J83+สิงห์บุรี!J83+สุพรรณบุรี!J83+อ่างทอง!J83</f>
        <v>0</v>
      </c>
      <c r="K83" s="48">
        <f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67">
        <f>กาญจนบุรี!J85+จันทบุรี!J85+ฉะเชิงเทรา!J85+ชลบุรี!J85+ชัยนาท!J85+ตราด!J85+นครนายก!J85+นครปฐม!J85+ปทุมธานี!J85+ประจวบคีรีขันธ์!J85+ปราจีนบุรี!J85+พระนครศรีอยุธยา!J85+เพชรบุรี!J85+ระยอง!J85+ราชบุรี!J85+ลพบุรี!J85+สระแก้ว!J85+สระบุรี!J85+สิงห์บุรี!J85+สุพรรณบุรี!J85+อ่างทอง!J85</f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67">
        <f>กาญจนบุรี!J86+จันทบุรี!J86+ฉะเชิงเทรา!J86+ชลบุรี!J86+ชัยนาท!J86+ตราด!J86+นครนายก!J86+นครปฐม!J86+ปทุมธานี!J86+ประจวบคีรีขันธ์!J86+ปราจีนบุรี!J86+พระนครศรีอยุธยา!J86+เพชรบุรี!J86+ระยอง!J86+ราชบุรี!J86+ลพบุรี!J86+สระแก้ว!J86+สระบุรี!J86+สิงห์บุรี!J86+สุพรรณบุรี!J86+อ่างทอง!J86</f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f>กาญจนบุรี!J87+จันทบุรี!J87+ฉะเชิงเทรา!J87+ชลบุรี!J87+ชัยนาท!J87+ตราด!J87+นครนายก!J87+นครปฐม!J87+ปทุมธานี!J87+ประจวบคีรีขันธ์!J87+ปราจีนบุรี!J87+พระนครศรีอยุธยา!J87+เพชรบุรี!J87+ระยอง!J87+ราชบุรี!J87+ลพบุรี!J87+สระแก้ว!J87+สระบุรี!J87+สิงห์บุรี!J87+สุพรรณบุรี!J87+อ่างทอง!J87</f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f>กาญจนบุรี!J88+จันทบุรี!J88+ฉะเชิงเทรา!J88+ชลบุรี!J88+ชัยนาท!J88+ตราด!J88+นครนายก!J88+นครปฐม!J88+ปทุมธานี!J88+ประจวบคีรีขันธ์!J88+ปราจีนบุรี!J88+พระนครศรีอยุธยา!J88+เพชรบุรี!J88+ระยอง!J88+ราชบุรี!J88+ลพบุรี!J88+สระแก้ว!J88+สระบุรี!J88+สิงห์บุรี!J88+สุพรรณบุรี!J88+อ่างทอง!J88</f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ca="1">กาญจนบุรี!I89+จันทบุรี!I89+ฉะเชิงเทรา!I89+ชลบุรี!I89+ชัยนาท!I89+ตราด!I89+นครนายก!I89+นครปฐม!I89+ปทุมธานี!I89+ประจวบคีรีขันธ์!I89+ปราจีนบุรี!I89+พระนครศรีอยุธยา!I89+เพชรบุรี!I89+ระยอง!I89+ราชบุรี!I89+ลพบุรี!I89+สระแก้ว!I89+สระบุรี!I89+สิงห์บุรี!I89+สุพรรณบุรี!I89+อ่างทอง!I89</f>
        <v>50</v>
      </c>
      <c r="J89" s="149">
        <f>กาญจนบุรี!J89+จันทบุรี!J89+ฉะเชิงเทรา!J89+ชลบุรี!J89+ชัยนาท!J89+ตราด!J89+นครนายก!J89+นครปฐม!J89+ปทุมธานี!J89+ประจวบคีรีขันธ์!J89+ปราจีนบุรี!J89+พระนครศรีอยุธยา!J89+เพชรบุรี!J89+ระยอง!J89+ราชบุรี!J89+ลพบุรี!J89+สระแก้ว!J89+สระบุรี!J89+สิงห์บุรี!J89+สุพรรณบุรี!J89+อ่างทอง!J89</f>
        <v>0</v>
      </c>
      <c r="K89" s="150">
        <f ca="1">IF(I89&gt;0,J89*100/I89,0)</f>
        <v>0</v>
      </c>
      <c r="L89" s="147">
        <f ca="1">กาญจนบุรี!L89+จันทบุรี!L89+ฉะเชิงเทรา!L89+ชลบุรี!L89+ชัยนาท!L89+ตราด!L89+นครนายก!L89+นครปฐม!L89+ปทุมธานี!L89+ประจวบคีรีขันธ์!L89+ปราจีนบุรี!L89+พระนครศรีอยุธยา!L89+เพชรบุรี!L89+ระยอง!L89+ราชบุรี!L89+ลพบุรี!L89+สระแก้ว!L89+สระบุรี!L89+สิงห์บุรี!L89+สุพรรณบุรี!L89+อ่างทอง!L89</f>
        <v>700000</v>
      </c>
      <c r="M89" s="147">
        <f>กาญจนบุรี!M89+จันทบุรี!M89+ฉะเชิงเทรา!M89+ชลบุรี!M89+ชัยนาท!M89+ตราด!M89+นครนายก!M89+นครปฐม!M89+ปทุมธานี!M89+ประจวบคีรีขันธ์!M89+ปราจีนบุรี!M89+พระนครศรีอยุธยา!M89+เพชรบุรี!M89+ระยอง!M89+ราชบุรี!M89+ลพบุรี!M89+สระแก้ว!M89+สระบุรี!M89+สิงห์บุรี!M89+สุพรรณบุรี!M89+อ่างทอง!M89</f>
        <v>0</v>
      </c>
      <c r="N89" s="147">
        <f t="shared" ref="N89:N92" ca="1" si="9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f>กาญจนบุรี!L90+จันทบุรี!L90+ฉะเชิงเทรา!L90+ชลบุรี!L90+ชัยนาท!L90+ตราด!L90+นครนายก!L90+นครปฐม!L90+ปทุมธานี!L90+ประจวบคีรีขันธ์!L90+ปราจีนบุรี!L90+พระนครศรีอยุธยา!L90+เพชรบุรี!L90+ระยอง!L90+ราชบุรี!L90+ลพบุรี!L90+สระแก้ว!L90+สระบุรี!L90+สิงห์บุรี!L90+สุพรรณบุรี!L90+อ่างทอง!L90</f>
        <v>0</v>
      </c>
      <c r="M90" s="49">
        <f>กาญจนบุรี!M90+จันทบุรี!M90+ฉะเชิงเทรา!M90+ชลบุรี!M90+ชัยนาท!M90+ตราด!M90+นครนายก!M90+นครปฐม!M90+ปทุมธานี!M90+ประจวบคีรีขันธ์!M90+ปราจีนบุรี!M90+พระนครศรีอยุธยา!M90+เพชรบุรี!M90+ระยอง!M90+ราชบุรี!M90+ลพบุรี!M90+สระแก้ว!M90+สระบุรี!M90+สิงห์บุรี!M90+สุพรรณบุรี!M90+อ่างทอง!M90</f>
        <v>0</v>
      </c>
      <c r="N90" s="49">
        <f t="shared" si="9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ca="1">กาญจนบุรี!L91+จันทบุรี!L91+ฉะเชิงเทรา!L91+ชลบุรี!L91+ชัยนาท!L91+ตราด!L91+นครนายก!L91+นครปฐม!L91+ปทุมธานี!L91+ประจวบคีรีขันธ์!L91+ปราจีนบุรี!L91+พระนครศรีอยุธยา!L91+เพชรบุรี!L91+ระยอง!L91+ราชบุรี!L91+ลพบุรี!L91+สระแก้ว!L91+สระบุรี!L91+สิงห์บุรี!L91+สุพรรณบุรี!L91+อ่างทอง!L91</f>
        <v>700000</v>
      </c>
      <c r="M91" s="49">
        <f>กาญจนบุรี!M91+จันทบุรี!M91+ฉะเชิงเทรา!M91+ชลบุรี!M91+ชัยนาท!M91+ตราด!M91+นครนายก!M91+นครปฐม!M91+ปทุมธานี!M91+ประจวบคีรีขันธ์!M91+ปราจีนบุรี!M91+พระนครศรีอยุธยา!M91+เพชรบุรี!M91+ระยอง!M91+ราชบุรี!M91+ลพบุรี!M91+สระแก้ว!M91+สระบุรี!M91+สิงห์บุรี!M91+สุพรรณบุรี!M91+อ่างทอง!M91</f>
        <v>0</v>
      </c>
      <c r="N91" s="49">
        <f t="shared" ca="1" si="9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กาญจนบุรี!L92+จันทบุรี!L92+ฉะเชิงเทรา!L92+ชลบุรี!L92+ชัยนาท!L92+ตราด!L92+นครนายก!L92+นครปฐม!L92+ปทุมธานี!L92+ประจวบคีรีขันธ์!L92+ปราจีนบุรี!L92+พระนครศรีอยุธยา!L92+เพชรบุรี!L92+ระยอง!L92+ราชบุรี!L92+ลพบุรี!L92+สระแก้ว!L92+สระบุรี!L92+สิงห์บุรี!L92+สุพรรณบุรี!L92+อ่างทอง!L92</f>
        <v>700000</v>
      </c>
      <c r="M92" s="53">
        <f>กาญจนบุรี!M92+จันทบุรี!M92+ฉะเชิงเทรา!M92+ชลบุรี!M92+ชัยนาท!M92+ตราด!M92+นครนายก!M92+นครปฐม!M92+ปทุมธานี!M92+ประจวบคีรีขันธ์!M92+ปราจีนบุรี!M92+พระนครศรีอยุธยา!M92+เพชรบุรี!M92+ระยอง!M92+ราชบุรี!M92+ลพบุรี!M92+สระแก้ว!M92+สระบุรี!M92+สิงห์บุรี!M92+สุพรรณบุรี!M92+อ่างทอง!M92</f>
        <v>0</v>
      </c>
      <c r="N92" s="52">
        <f t="shared" ca="1" si="9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f>กาญจนบุรี!J94+จันทบุรี!J94+ฉะเชิงเทรา!J94+ชลบุรี!J94+ชัยนาท!J94+ตราด!J94+นครนายก!J94+นครปฐม!J94+ปทุมธานี!J94+ประจวบคีรีขันธ์!J94+ปราจีนบุรี!J94+พระนครศรีอยุธยา!J94+เพชรบุรี!J94+ระยอง!J94+ราชบุรี!J94+ลพบุรี!J94+สระแก้ว!J94+สระบุรี!J94+สิงห์บุรี!J94+สุพรรณบุรี!J94+อ่างทอง!J94</f>
        <v>8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f>กาญจนบุรี!J95+จันทบุรี!J95+ฉะเชิงเทรา!J95+ชลบุรี!J95+ชัยนาท!J95+ตราด!J95+นครนายก!J95+นครปฐม!J95+ปทุมธานี!J95+ประจวบคีรีขันธ์!J95+ปราจีนบุรี!J95+พระนครศรีอยุธยา!J95+เพชรบุรี!J95+ระยอง!J95+ราชบุรี!J95+ลพบุรี!J95+สระแก้ว!J95+สระบุรี!J95+สิงห์บุรี!J95+สุพรรณบุรี!J95+อ่างทอง!J95</f>
        <v>5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f>กาญจนบุรี!J96+จันทบุรี!J96+ฉะเชิงเทรา!J96+ชลบุรี!J96+ชัยนาท!J96+ตราด!J96+นครนายก!J96+นครปฐม!J96+ปทุมธานี!J96+ประจวบคีรีขันธ์!J96+ปราจีนบุรี!J96+พระนครศรีอยุธยา!J96+เพชรบุรี!J96+ระยอง!J96+ราชบุรี!J96+ลพบุรี!J96+สระแก้ว!J96+สระบุรี!J96+สิงห์บุรี!J96+สุพรรณบุรี!J96+อ่างทอง!J96</f>
        <v>4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f>กาญจนบุรี!J97+จันทบุรี!J97+ฉะเชิงเทรา!J97+ชลบุรี!J97+ชัยนาท!J97+ตราด!J97+นครนายก!J97+นครปฐม!J97+ปทุมธานี!J97+ประจวบคีรีขันธ์!J97+ปราจีนบุรี!J97+พระนครศรีอยุธยา!J97+เพชรบุรี!J97+ระยอง!J97+ราชบุรี!J97+ลพบุรี!J97+สระแก้ว!J97+สระบุรี!J97+สิงห์บุรี!J97+สุพรรณบุรี!J97+อ่างทอง!J97</f>
        <v>2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กาญจนบุรี!I98+จันทบุรี!I98+ฉะเชิงเทรา!I98+ชลบุรี!I98+ชัยนาท!I98+ตราด!I98+นครนายก!I98+นครปฐม!I98+ปทุมธานี!I98+ประจวบคีรีขันธ์!I98+ปราจีนบุรี!I98+พระนครศรีอยุธยา!I98+เพชรบุรี!I98+ระยอง!I98+ราชบุรี!I98+ลพบุรี!I98+สระแก้ว!I98+สระบุรี!I98+สิงห์บุรี!I98+สุพรรณบุรี!I98+อ่างทอง!I98</f>
        <v>50</v>
      </c>
      <c r="J98" s="67">
        <f>กาญจนบุรี!J98+จันทบุรี!J98+ฉะเชิงเทรา!J98+ชลบุรี!J98+ชัยนาท!J98+ตราด!J98+นครนายก!J98+นครปฐม!J98+ปทุมธานี!J98+ประจวบคีรีขันธ์!J98+ปราจีนบุรี!J98+พระนครศรีอยุธยา!J98+เพชรบุรี!J98+ระยอง!J98+ราชบุรี!J98+ลพบุรี!J98+สระแก้ว!J98+สระบุรี!J98+สิงห์บุรี!J98+สุพรรณบุรี!J98+อ่างทอง!J98</f>
        <v>0</v>
      </c>
      <c r="K98" s="48">
        <f ca="1">IF(I98&gt;0,J98*100/I98,0)</f>
        <v>0</v>
      </c>
      <c r="L98" s="60"/>
      <c r="M98" s="60"/>
      <c r="N98" s="60"/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f>กาญจนบุรี!J99+จันทบุรี!J99+ฉะเชิงเทรา!J99+ชลบุรี!J99+ชัยนาท!J99+ตราด!J99+นครนายก!J99+นครปฐม!J99+ปทุมธานี!J99+ประจวบคีรีขันธ์!J99+ปราจีนบุรี!J99+พระนครศรีอยุธยา!J99+เพชรบุรี!J99+ระยอง!J99+ราชบุรี!J99+ลพบุรี!J99+สระแก้ว!J99+สระบุรี!J99+สิงห์บุรี!J99+สุพรรณบุรี!J99+อ่างทอง!J99</f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f>กาญจนบุรี!J100+จันทบุรี!J100+ฉะเชิงเทรา!J100+ชลบุรี!J100+ชัยนาท!J100+ตราด!J100+นครนายก!J100+นครปฐม!J100+ปทุมธานี!J100+ประจวบคีรีขันธ์!J100+ปราจีนบุรี!J100+พระนครศรีอยุธยา!J100+เพชรบุรี!J100+ระยอง!J100+ราชบุรี!J100+ลพบุรี!J100+สระแก้ว!J100+สระบุรี!J100+สิงห์บุรี!J100+สุพรรณบุรี!J100+อ่างทอง!J100</f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ca="1">กาญจนบุรี!I101+จันทบุรี!I101+ฉะเชิงเทรา!I101+ชลบุรี!I101+ชัยนาท!I101+ตราด!I101+นครนายก!I101+นครปฐม!I101+ปทุมธานี!I101+ประจวบคีรีขันธ์!I101+ปราจีนบุรี!I101+พระนครศรีอยุธยา!I101+เพชรบุรี!I101+ระยอง!I101+ราชบุรี!I101+ลพบุรี!I101+สระแก้ว!I101+สระบุรี!I101+สิงห์บุรี!I101+สุพรรณบุรี!I101+อ่างทอง!I101</f>
        <v>17</v>
      </c>
      <c r="J101" s="149">
        <f>กาญจนบุรี!J101+จันทบุรี!J101+ฉะเชิงเทรา!J101+ชลบุรี!J101+ชัยนาท!J101+ตราด!J101+นครนายก!J101+นครปฐม!J101+ปทุมธานี!J101+ประจวบคีรีขันธ์!J101+ปราจีนบุรี!J101+พระนครศรีอยุธยา!J101+เพชรบุรี!J101+ระยอง!J101+ราชบุรี!J101+ลพบุรี!J101+สระแก้ว!J101+สระบุรี!J101+สิงห์บุรี!J101+สุพรรณบุรี!J101+อ่างทอง!J101</f>
        <v>0</v>
      </c>
      <c r="K101" s="150">
        <f ca="1">IF(I101&gt;0,J101*100/I101,0)</f>
        <v>0</v>
      </c>
      <c r="L101" s="147">
        <f ca="1">กาญจนบุรี!L101+จันทบุรี!L101+ฉะเชิงเทรา!L101+ชลบุรี!L101+ชัยนาท!L101+ตราด!L101+นครนายก!L101+นครปฐม!L101+ปทุมธานี!L101+ประจวบคีรีขันธ์!L101+ปราจีนบุรี!L101+พระนครศรีอยุธยา!L101+เพชรบุรี!L101+ระยอง!L101+ราชบุรี!L101+ลพบุรี!L101+สระแก้ว!L101+สระบุรี!L101+สิงห์บุรี!L101+สุพรรณบุรี!L101+อ่างทอง!L101</f>
        <v>255000</v>
      </c>
      <c r="M101" s="147">
        <f>กาญจนบุรี!M101+จันทบุรี!M101+ฉะเชิงเทรา!M101+ชลบุรี!M101+ชัยนาท!M101+ตราด!M101+นครนายก!M101+นครปฐม!M101+ปทุมธานี!M101+ประจวบคีรีขันธ์!M101+ปราจีนบุรี!M101+พระนครศรีอยุธยา!M101+เพชรบุรี!M101+ระยอง!M101+ราชบุรี!M101+ลพบุรี!M101+สระแก้ว!M101+สระบุรี!M101+สิงห์บุรี!M101+สุพรรณบุรี!M101+อ่างทอง!M101</f>
        <v>13510</v>
      </c>
      <c r="N101" s="147">
        <f t="shared" ref="N101:N104" ca="1" si="10">+IF(L101&gt;0,M101*100/L101,0)</f>
        <v>5.2980392156862743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f>กาญจนบุรี!L102+จันทบุรี!L102+ฉะเชิงเทรา!L102+ชลบุรี!L102+ชัยนาท!L102+ตราด!L102+นครนายก!L102+นครปฐม!L102+ปทุมธานี!L102+ประจวบคีรีขันธ์!L102+ปราจีนบุรี!L102+พระนครศรีอยุธยา!L102+เพชรบุรี!L102+ระยอง!L102+ราชบุรี!L102+ลพบุรี!L102+สระแก้ว!L102+สระบุรี!L102+สิงห์บุรี!L102+สุพรรณบุรี!L102+อ่างทอง!L102</f>
        <v>0</v>
      </c>
      <c r="M102" s="49">
        <f>กาญจนบุรี!M102+จันทบุรี!M102+ฉะเชิงเทรา!M102+ชลบุรี!M102+ชัยนาท!M102+ตราด!M102+นครนายก!M102+นครปฐม!M102+ปทุมธานี!M102+ประจวบคีรีขันธ์!M102+ปราจีนบุรี!M102+พระนครศรีอยุธยา!M102+เพชรบุรี!M102+ระยอง!M102+ราชบุรี!M102+ลพบุรี!M102+สระแก้ว!M102+สระบุรี!M102+สิงห์บุรี!M102+สุพรรณบุรี!M102+อ่างทอง!M102</f>
        <v>0</v>
      </c>
      <c r="N102" s="49">
        <f t="shared" si="10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กาญจนบุรี!L103+จันทบุรี!L103+ฉะเชิงเทรา!L103+ชลบุรี!L103+ชัยนาท!L103+ตราด!L103+นครนายก!L103+นครปฐม!L103+ปทุมธานี!L103+ประจวบคีรีขันธ์!L103+ปราจีนบุรี!L103+พระนครศรีอยุธยา!L103+เพชรบุรี!L103+ระยอง!L103+ราชบุรี!L103+ลพบุรี!L103+สระแก้ว!L103+สระบุรี!L103+สิงห์บุรี!L103+สุพรรณบุรี!L103+อ่างทอง!L103</f>
        <v>255000</v>
      </c>
      <c r="M103" s="49">
        <f>กาญจนบุรี!M103+จันทบุรี!M103+ฉะเชิงเทรา!M103+ชลบุรี!M103+ชัยนาท!M103+ตราด!M103+นครนายก!M103+นครปฐม!M103+ปทุมธานี!M103+ประจวบคีรีขันธ์!M103+ปราจีนบุรี!M103+พระนครศรีอยุธยา!M103+เพชรบุรี!M103+ระยอง!M103+ราชบุรี!M103+ลพบุรี!M103+สระแก้ว!M103+สระบุรี!M103+สิงห์บุรี!M103+สุพรรณบุรี!M103+อ่างทอง!M103</f>
        <v>13510</v>
      </c>
      <c r="N103" s="49">
        <f t="shared" ca="1" si="10"/>
        <v>5.2980392156862743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47"/>
      <c r="K104" s="48"/>
      <c r="L104" s="52">
        <f ca="1">กาญจนบุรี!L104+จันทบุรี!L104+ฉะเชิงเทรา!L104+ชลบุรี!L104+ชัยนาท!L104+ตราด!L104+นครนายก!L104+นครปฐม!L104+ปทุมธานี!L104+ประจวบคีรีขันธ์!L104+ปราจีนบุรี!L104+พระนครศรีอยุธยา!L104+เพชรบุรี!L104+ระยอง!L104+ราชบุรี!L104+ลพบุรี!L104+สระแก้ว!L104+สระบุรี!L104+สิงห์บุรี!L104+สุพรรณบุรี!L104+อ่างทอง!L104</f>
        <v>255000</v>
      </c>
      <c r="M104" s="53">
        <f>กาญจนบุรี!M104+จันทบุรี!M104+ฉะเชิงเทรา!M104+ชลบุรี!M104+ชัยนาท!M104+ตราด!M104+นครนายก!M104+นครปฐม!M104+ปทุมธานี!M104+ประจวบคีรีขันธ์!M104+ปราจีนบุรี!M104+พระนครศรีอยุธยา!M104+เพชรบุรี!M104+ระยอง!M104+ราชบุรี!M104+ลพบุรี!M104+สระแก้ว!M104+สระบุรี!M104+สิงห์บุรี!M104+สุพรรณบุรี!M104+อ่างทอง!M104</f>
        <v>13510</v>
      </c>
      <c r="N104" s="52">
        <f t="shared" ca="1" si="10"/>
        <v>5.2980392156862743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47"/>
      <c r="K105" s="48"/>
      <c r="L105" s="60"/>
      <c r="M105" s="60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7">
        <f>กาญจนบุรี!J106+จันทบุรี!J106+ฉะเชิงเทรา!J106+ชลบุรี!J106+ชัยนาท!J106+ตราด!J106+นครนายก!J106+นครปฐม!J106+ปทุมธานี!J106+ประจวบคีรีขันธ์!J106+ปราจีนบุรี!J106+พระนครศรีอยุธยา!J106+เพชรบุรี!J106+ระยอง!J106+ราชบุรี!J106+ลพบุรี!J106+สระแก้ว!J106+สระบุรี!J106+สิงห์บุรี!J106+สุพรรณบุรี!J106+อ่างทอง!J106</f>
        <v>3</v>
      </c>
      <c r="K106" s="48"/>
      <c r="L106" s="60"/>
      <c r="M106" s="60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7">
        <f>กาญจนบุรี!J107+จันทบุรี!J107+ฉะเชิงเทรา!J107+ชลบุรี!J107+ชัยนาท!J107+ตราด!J107+นครนายก!J107+นครปฐม!J107+ปทุมธานี!J107+ประจวบคีรีขันธ์!J107+ปราจีนบุรี!J107+พระนครศรีอยุธยา!J107+เพชรบุรี!J107+ระยอง!J107+ราชบุรี!J107+ลพบุรี!J107+สระแก้ว!J107+สระบุรี!J107+สิงห์บุรี!J107+สุพรรณบุรี!J107+อ่างทอง!J107</f>
        <v>0</v>
      </c>
      <c r="K107" s="48"/>
      <c r="L107" s="60" t="s">
        <v>21</v>
      </c>
      <c r="M107" s="60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7">
        <f>กาญจนบุรี!J108+จันทบุรี!J108+ฉะเชิงเทรา!J108+ชลบุรี!J108+ชัยนาท!J108+ตราด!J108+นครนายก!J108+นครปฐม!J108+ปทุมธานี!J108+ประจวบคีรีขันธ์!J108+ปราจีนบุรี!J108+พระนครศรีอยุธยา!J108+เพชรบุรี!J108+ระยอง!J108+ราชบุรี!J108+ลพบุรี!J108+สระแก้ว!J108+สระบุรี!J108+สิงห์บุรี!J108+สุพรรณบุรี!J108+อ่างทอง!J108</f>
        <v>0</v>
      </c>
      <c r="K108" s="48"/>
      <c r="L108" s="60"/>
      <c r="M108" s="60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7">
        <f>กาญจนบุรี!J109+จันทบุรี!J109+ฉะเชิงเทรา!J109+ชลบุรี!J109+ชัยนาท!J109+ตราด!J109+นครนายก!J109+นครปฐม!J109+ปทุมธานี!J109+ประจวบคีรีขันธ์!J109+ปราจีนบุรี!J109+พระนครศรีอยุธยา!J109+เพชรบุรี!J109+ระยอง!J109+ราชบุรี!J109+ลพบุรี!J109+สระแก้ว!J109+สระบุรี!J109+สิงห์บุรี!J109+สุพรรณบุรี!J109+อ่างทอง!J109</f>
        <v>0</v>
      </c>
      <c r="K109" s="48"/>
      <c r="L109" s="60"/>
      <c r="M109" s="60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กาญจนบุรี!I110+จันทบุรี!I110+ฉะเชิงเทรา!I110+ชลบุรี!I110+ชัยนาท!I110+ตราด!I110+นครนายก!I110+นครปฐม!I110+ปทุมธานี!I110+ประจวบคีรีขันธ์!I110+ปราจีนบุรี!I110+พระนครศรีอยุธยา!I110+เพชรบุรี!I110+ระยอง!I110+ราชบุรี!I110+ลพบุรี!I110+สระแก้ว!I110+สระบุรี!I110+สิงห์บุรี!I110+สุพรรณบุรี!I110+อ่างทอง!I110</f>
        <v>17</v>
      </c>
      <c r="J110" s="67">
        <f>กาญจนบุรี!J110+จันทบุรี!J110+ฉะเชิงเทรา!J110+ชลบุรี!J110+ชัยนาท!J110+ตราด!J110+นครนายก!J110+นครปฐม!J110+ปทุมธานี!J110+ประจวบคีรีขันธ์!J110+ปราจีนบุรี!J110+พระนครศรีอยุธยา!J110+เพชรบุรี!J110+ระยอง!J110+ราชบุรี!J110+ลพบุรี!J110+สระแก้ว!J110+สระบุรี!J110+สิงห์บุรี!J110+สุพรรณบุรี!J110+อ่างทอง!J110</f>
        <v>0</v>
      </c>
      <c r="K110" s="48">
        <f t="shared" ref="K110:K111" ca="1" si="11">IF(I110&gt;0,J110*100/I110,0)</f>
        <v>0</v>
      </c>
      <c r="L110" s="60"/>
      <c r="M110" s="60"/>
      <c r="N110" s="60"/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กาญจนบุรี!I111+จันทบุรี!I111+ฉะเชิงเทรา!I111+ชลบุรี!I111+ชัยนาท!I111+ตราด!I111+นครนายก!I111+นครปฐม!I111+ปทุมธานี!I111+ประจวบคีรีขันธ์!I111+ปราจีนบุรี!I111+พระนครศรีอยุธยา!I111+เพชรบุรี!I111+ระยอง!I111+ราชบุรี!I111+ลพบุรี!I111+สระแก้ว!I111+สระบุรี!I111+สิงห์บุรี!I111+สุพรรณบุรี!I111+อ่างทอง!I111</f>
        <v>17</v>
      </c>
      <c r="J111" s="67">
        <f>กาญจนบุรี!J111+จันทบุรี!J111+ฉะเชิงเทรา!J111+ชลบุรี!J111+ชัยนาท!J111+ตราด!J111+นครนายก!J111+นครปฐม!J111+ปทุมธานี!J111+ประจวบคีรีขันธ์!J111+ปราจีนบุรี!J111+พระนครศรีอยุธยา!J111+เพชรบุรี!J111+ระยอง!J111+ราชบุรี!J111+ลพบุรี!J111+สระแก้ว!J111+สระบุรี!J111+สิงห์บุรี!J111+สุพรรณบุรี!J111+อ่างทอง!J111</f>
        <v>0</v>
      </c>
      <c r="K111" s="48">
        <f t="shared" ca="1" si="11"/>
        <v>0</v>
      </c>
      <c r="L111" s="60"/>
      <c r="M111" s="60"/>
      <c r="N111" s="60"/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7">
        <f>กาญจนบุรี!J112+จันทบุรี!J112+ฉะเชิงเทรา!J112+ชลบุรี!J112+ชัยนาท!J112+ตราด!J112+นครนายก!J112+นครปฐม!J112+ปทุมธานี!J112+ประจวบคีรีขันธ์!J112+ปราจีนบุรี!J112+พระนครศรีอยุธยา!J112+เพชรบุรี!J112+ระยอง!J112+ราชบุรี!J112+ลพบุรี!J112+สระแก้ว!J112+สระบุรี!J112+สิงห์บุรี!J112+สุพรรณบุรี!J112+อ่างทอง!J112</f>
        <v>0</v>
      </c>
      <c r="K112" s="48"/>
      <c r="L112" s="60"/>
      <c r="M112" s="60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84">
        <f>กาญจนบุรี!J113+จันทบุรี!J113+ฉะเชิงเทรา!J113+ชลบุรี!J113+ชัยนาท!J113+ตราด!J113+นครนายก!J113+นครปฐม!J113+ปทุมธานี!J113+ประจวบคีรีขันธ์!J113+ปราจีนบุรี!J113+พระนครศรีอยุธยา!J113+เพชรบุรี!J113+ระยอง!J113+ราชบุรี!J113+ลพบุรี!J113+สระแก้ว!J113+สระบุรี!J113+สิงห์บุรี!J113+สุพรรณบุรี!J113+อ่างทอง!J113</f>
        <v>0</v>
      </c>
      <c r="K113" s="48"/>
      <c r="L113" s="60"/>
      <c r="M113" s="60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ca="1">กาญจนบุรี!I114+จันทบุรี!I114+ฉะเชิงเทรา!I114+ชลบุรี!I114+ชัยนาท!I114+ตราด!I114+นครนายก!I114+นครปฐม!I114+ปทุมธานี!I114+ประจวบคีรีขันธ์!I114+ปราจีนบุรี!I114+พระนครศรีอยุธยา!I114+เพชรบุรี!I114+ระยอง!I114+ราชบุรี!I114+ลพบุรี!I114+สระแก้ว!I114+สระบุรี!I114+สิงห์บุรี!I114+สุพรรณบุรี!I114+อ่างทอง!I114</f>
        <v>451000</v>
      </c>
      <c r="J114" s="149">
        <f>กาญจนบุรี!J114+จันทบุรี!J114+ฉะเชิงเทรา!J114+ชลบุรี!J114+ชัยนาท!J114+ตราด!J114+นครนายก!J114+นครปฐม!J114+ปทุมธานี!J114+ประจวบคีรีขันธ์!J114+ปราจีนบุรี!J114+พระนครศรีอยุธยา!J114+เพชรบุรี!J114+ระยอง!J114+ราชบุรี!J114+ลพบุรี!J114+สระแก้ว!J114+สระบุรี!J114+สิงห์บุรี!J114+สุพรรณบุรี!J114+อ่างทอง!J114</f>
        <v>0</v>
      </c>
      <c r="K114" s="150">
        <f ca="1">IF(I114&gt;0,J114*100/I114,0)</f>
        <v>0</v>
      </c>
      <c r="L114" s="147">
        <f ca="1">กาญจนบุรี!L114+จันทบุรี!L114+ฉะเชิงเทรา!L114+ชลบุรี!L114+ชัยนาท!L114+ตราด!L114+นครนายก!L114+นครปฐม!L114+ปทุมธานี!L114+ประจวบคีรีขันธ์!L114+ปราจีนบุรี!L114+พระนครศรีอยุธยา!L114+เพชรบุรี!L114+ระยอง!L114+ราชบุรี!L114+ลพบุรี!L114+สระแก้ว!L114+สระบุรี!L114+สิงห์บุรี!L114+สุพรรณบุรี!L114+อ่างทอง!L114</f>
        <v>282500</v>
      </c>
      <c r="M114" s="147">
        <f>กาญจนบุรี!M114+จันทบุรี!M114+ฉะเชิงเทรา!M114+ชลบุรี!M114+ชัยนาท!M114+ตราด!M114+นครนายก!M114+นครปฐม!M114+ปทุมธานี!M114+ประจวบคีรีขันธ์!M114+ปราจีนบุรี!M114+พระนครศรีอยุธยา!M114+เพชรบุรี!M114+ระยอง!M114+ราชบุรี!M114+ลพบุรี!M114+สระแก้ว!M114+สระบุรี!M114+สิงห์บุรี!M114+สุพรรณบุรี!M114+อ่างทอง!M114</f>
        <v>15000</v>
      </c>
      <c r="N114" s="147">
        <f t="shared" ref="N114:N117" ca="1" si="12">+IF(L114&gt;0,M114*100/L114,0)</f>
        <v>5.3097345132743365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f>กาญจนบุรี!L115+จันทบุรี!L115+ฉะเชิงเทรา!L115+ชลบุรี!L115+ชัยนาท!L115+ตราด!L115+นครนายก!L115+นครปฐม!L115+ปทุมธานี!L115+ประจวบคีรีขันธ์!L115+ปราจีนบุรี!L115+พระนครศรีอยุธยา!L115+เพชรบุรี!L115+ระยอง!L115+ราชบุรี!L115+ลพบุรี!L115+สระแก้ว!L115+สระบุรี!L115+สิงห์บุรี!L115+สุพรรณบุรี!L115+อ่างทอง!L115</f>
        <v>0</v>
      </c>
      <c r="M115" s="49">
        <f>กาญจนบุรี!M115+จันทบุรี!M115+ฉะเชิงเทรา!M115+ชลบุรี!M115+ชัยนาท!M115+ตราด!M115+นครนายก!M115+นครปฐม!M115+ปทุมธานี!M115+ประจวบคีรีขันธ์!M115+ปราจีนบุรี!M115+พระนครศรีอยุธยา!M115+เพชรบุรี!M115+ระยอง!M115+ราชบุรี!M115+ลพบุรี!M115+สระแก้ว!M115+สระบุรี!M115+สิงห์บุรี!M115+สุพรรณบุรี!M115+อ่างทอง!M115</f>
        <v>0</v>
      </c>
      <c r="N115" s="49">
        <f t="shared" si="12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กาญจนบุรี!L116+จันทบุรี!L116+ฉะเชิงเทรา!L116+ชลบุรี!L116+ชัยนาท!L116+ตราด!L116+นครนายก!L116+นครปฐม!L116+ปทุมธานี!L116+ประจวบคีรีขันธ์!L116+ปราจีนบุรี!L116+พระนครศรีอยุธยา!L116+เพชรบุรี!L116+ระยอง!L116+ราชบุรี!L116+ลพบุรี!L116+สระแก้ว!L116+สระบุรี!L116+สิงห์บุรี!L116+สุพรรณบุรี!L116+อ่างทอง!L116</f>
        <v>282500</v>
      </c>
      <c r="M116" s="49">
        <f>กาญจนบุรี!M116+จันทบุรี!M116+ฉะเชิงเทรา!M116+ชลบุรี!M116+ชัยนาท!M116+ตราด!M116+นครนายก!M116+นครปฐม!M116+ปทุมธานี!M116+ประจวบคีรีขันธ์!M116+ปราจีนบุรี!M116+พระนครศรีอยุธยา!M116+เพชรบุรี!M116+ระยอง!M116+ราชบุรี!M116+ลพบุรี!M116+สระแก้ว!M116+สระบุรี!M116+สิงห์บุรี!M116+สุพรรณบุรี!M116+อ่างทอง!M116</f>
        <v>15000</v>
      </c>
      <c r="N116" s="49">
        <f t="shared" ca="1" si="12"/>
        <v>5.3097345132743365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กาญจนบุรี!L117+จันทบุรี!L117+ฉะเชิงเทรา!L117+ชลบุรี!L117+ชัยนาท!L117+ตราด!L117+นครนายก!L117+นครปฐม!L117+ปทุมธานี!L117+ประจวบคีรีขันธ์!L117+ปราจีนบุรี!L117+พระนครศรีอยุธยา!L117+เพชรบุรี!L117+ระยอง!L117+ราชบุรี!L117+ลพบุรี!L117+สระแก้ว!L117+สระบุรี!L117+สิงห์บุรี!L117+สุพรรณบุรี!L117+อ่างทอง!L117</f>
        <v>282500</v>
      </c>
      <c r="M117" s="53">
        <f>กาญจนบุรี!M117+จันทบุรี!M117+ฉะเชิงเทรา!M117+ชลบุรี!M117+ชัยนาท!M117+ตราด!M117+นครนายก!M117+นครปฐม!M117+ปทุมธานี!M117+ประจวบคีรีขันธ์!M117+ปราจีนบุรี!M117+พระนครศรีอยุธยา!M117+เพชรบุรี!M117+ระยอง!M117+ราชบุรี!M117+ลพบุรี!M117+สระแก้ว!M117+สระบุรี!M117+สิงห์บุรี!M117+สุพรรณบุรี!M117+อ่างทอง!M117</f>
        <v>15000</v>
      </c>
      <c r="N117" s="52">
        <f t="shared" ca="1" si="12"/>
        <v>5.3097345132743365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f>กาญจนบุรี!J119+จันทบุรี!J119+ฉะเชิงเทรา!J119+ชลบุรี!J119+ชัยนาท!J119+ตราด!J119+นครนายก!J119+นครปฐม!J119+ปทุมธานี!J119+ประจวบคีรีขันธ์!J119+ปราจีนบุรี!J119+พระนครศรีอยุธยา!J119+เพชรบุรี!J119+ระยอง!J119+ราชบุรี!J119+ลพบุรี!J119+สระแก้ว!J119+สระบุรี!J119+สิงห์บุรี!J119+สุพรรณบุรี!J119+อ่างทอง!J119</f>
        <v>7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f>กาญจนบุรี!J120+จันทบุรี!J120+ฉะเชิงเทรา!J120+ชลบุรี!J120+ชัยนาท!J120+ตราด!J120+นครนายก!J120+นครปฐม!J120+ปทุมธานี!J120+ประจวบคีรีขันธ์!J120+ปราจีนบุรี!J120+พระนครศรีอยุธยา!J120+เพชรบุรี!J120+ระยอง!J120+ราชบุรี!J120+ลพบุรี!J120+สระแก้ว!J120+สระบุรี!J120+สิงห์บุรี!J120+สุพรรณบุรี!J120+อ่างทอง!J120</f>
        <v>6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f>กาญจนบุรี!J121+จันทบุรี!J121+ฉะเชิงเทรา!J121+ชลบุรี!J121+ชัยนาท!J121+ตราด!J121+นครนายก!J121+นครปฐม!J121+ปทุมธานี!J121+ประจวบคีรีขันธ์!J121+ปราจีนบุรี!J121+พระนครศรีอยุธยา!J121+เพชรบุรี!J121+ระยอง!J121+ราชบุรี!J121+ลพบุรี!J121+สระแก้ว!J121+สระบุรี!J121+สิงห์บุรี!J121+สุพรรณบุรี!J121+อ่างทอง!J121</f>
        <v>4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f>กาญจนบุรี!J122+จันทบุรี!J122+ฉะเชิงเทรา!J122+ชลบุรี!J122+ชัยนาท!J122+ตราด!J122+นครนายก!J122+นครปฐม!J122+ปทุมธานี!J122+ประจวบคีรีขันธ์!J122+ปราจีนบุรี!J122+พระนครศรีอยุธยา!J122+เพชรบุรี!J122+ระยอง!J122+ราชบุรี!J122+ลพบุรี!J122+สระแก้ว!J122+สระบุรี!J122+สิงห์บุรี!J122+สุพรรณบุรี!J122+อ่างทอง!J122</f>
        <v>2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กาญจนบุรี!I124+จันทบุรี!I124+ฉะเชิงเทรา!I124+ชลบุรี!I124+ชัยนาท!I124+ตราด!I124+นครนายก!I124+นครปฐม!I124+ปทุมธานี!I124+ประจวบคีรีขันธ์!I124+ปราจีนบุรี!I124+พระนครศรีอยุธยา!I124+เพชรบุรี!I124+ระยอง!I124+ราชบุรี!I124+ลพบุรี!I124+สระแก้ว!I124+สระบุรี!I124+สิงห์บุรี!I124+สุพรรณบุรี!I124+อ่างทอง!I124</f>
        <v>451000</v>
      </c>
      <c r="J124" s="67">
        <f>กาญจนบุรี!J124+จันทบุรี!J124+ฉะเชิงเทรา!J124+ชลบุรี!J124+ชัยนาท!J124+ตราด!J124+นครนายก!J124+นครปฐม!J124+ปทุมธานี!J124+ประจวบคีรีขันธ์!J124+ปราจีนบุรี!J124+พระนครศรีอยุธยา!J124+เพชรบุรี!J124+ระยอง!J124+ราชบุรี!J124+ลพบุรี!J124+สระแก้ว!J124+สระบุรี!J124+สิงห์บุรี!J124+สุพรรณบุรี!J124+อ่างทอง!J124</f>
        <v>0</v>
      </c>
      <c r="K124" s="48">
        <f t="shared" ref="K124:K126" ca="1" si="13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กาญจนบุรี!I125+จันทบุรี!I125+ฉะเชิงเทรา!I125+ชลบุรี!I125+ชัยนาท!I125+ตราด!I125+นครนายก!I125+นครปฐม!I125+ปทุมธานี!I125+ประจวบคีรีขันธ์!I125+ปราจีนบุรี!I125+พระนครศรีอยุธยา!I125+เพชรบุรี!I125+ระยอง!I125+ราชบุรี!I125+ลพบุรี!I125+สระแก้ว!I125+สระบุรี!I125+สิงห์บุรี!I125+สุพรรณบุรี!I125+อ่างทอง!I125</f>
        <v>451000</v>
      </c>
      <c r="J125" s="67">
        <f>กาญจนบุรี!J125+จันทบุรี!J125+ฉะเชิงเทรา!J125+ชลบุรี!J125+ชัยนาท!J125+ตราด!J125+นครนายก!J125+นครปฐม!J125+ปทุมธานี!J125+ประจวบคีรีขันธ์!J125+ปราจีนบุรี!J125+พระนครศรีอยุธยา!J125+เพชรบุรี!J125+ระยอง!J125+ราชบุรี!J125+ลพบุรี!J125+สระแก้ว!J125+สระบุรี!J125+สิงห์บุรี!J125+สุพรรณบุรี!J125+อ่างทอง!J125</f>
        <v>0</v>
      </c>
      <c r="K125" s="48">
        <f t="shared" ca="1" si="13"/>
        <v>0</v>
      </c>
      <c r="L125" s="60"/>
      <c r="M125" s="60"/>
      <c r="N125" s="60"/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47">
        <f ca="1">กาญจนบุรี!I126+จันทบุรี!I126+ฉะเชิงเทรา!I126+ชลบุรี!I126+ชัยนาท!I126+ตราด!I126+นครนายก!I126+นครปฐม!I126+ปทุมธานี!I126+ประจวบคีรีขันธ์!I126+ปราจีนบุรี!I126+พระนครศรีอยุธยา!I126+เพชรบุรี!I126+ระยอง!I126+ราชบุรี!I126+ลพบุรี!I126+สระแก้ว!I126+สระบุรี!I126+สิงห์บุรี!I126+สุพรรณบุรี!I126+อ่างทอง!I126</f>
        <v>60</v>
      </c>
      <c r="J126" s="67">
        <v>1</v>
      </c>
      <c r="K126" s="48">
        <f t="shared" ca="1" si="13"/>
        <v>1.6666666666666667</v>
      </c>
      <c r="L126" s="60"/>
      <c r="M126" s="60"/>
      <c r="N126" s="60"/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f>กาญจนบุรี!J127+จันทบุรี!J127+ฉะเชิงเทรา!J127+ชลบุรี!J127+ชัยนาท!J127+ตราด!J127+นครนายก!J127+นครปฐม!J127+ปทุมธานี!J127+ประจวบคีรีขันธ์!J127+ปราจีนบุรี!J127+พระนครศรีอยุธยา!J127+เพชรบุรี!J127+ระยอง!J127+ราชบุรี!J127+ลพบุรี!J127+สระแก้ว!J127+สระบุรี!J127+สิงห์บุรี!J127+สุพรรณบุรี!J127+อ่างทอง!J127</f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f>กาญจนบุรี!J128+จันทบุรี!J128+ฉะเชิงเทรา!J128+ชลบุรี!J128+ชัยนาท!J128+ตราด!J128+นครนายก!J128+นครปฐม!J128+ปทุมธานี!J128+ประจวบคีรีขันธ์!J128+ปราจีนบุรี!J128+พระนครศรีอยุธยา!J128+เพชรบุรี!J128+ระยอง!J128+ราชบุรี!J128+ลพบุรี!J128+สระแก้ว!J128+สระบุรี!J128+สิงห์บุรี!J128+สุพรรณบุรี!J128+อ่างทอง!J128</f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ca="1">กาญจนบุรี!I129+จันทบุรี!I129+ฉะเชิงเทรา!I129+ชลบุรี!I129+ชัยนาท!I129+ตราด!I129+นครนายก!I129+นครปฐม!I129+ปทุมธานี!I129+ประจวบคีรีขันธ์!I129+ปราจีนบุรี!I129+พระนครศรีอยุธยา!I129+เพชรบุรี!I129+ระยอง!I129+ราชบุรี!I129+ลพบุรี!I129+สระแก้ว!I129+สระบุรี!I129+สิงห์บุรี!I129+สุพรรณบุรี!I129+อ่างทอง!I129</f>
        <v>380</v>
      </c>
      <c r="J129" s="149">
        <f>กาญจนบุรี!J129+จันทบุรี!J129+ฉะเชิงเทรา!J129+ชลบุรี!J129+ชัยนาท!J129+ตราด!J129+นครนายก!J129+นครปฐม!J129+ปทุมธานี!J129+ประจวบคีรีขันธ์!J129+ปราจีนบุรี!J129+พระนครศรีอยุธยา!J129+เพชรบุรี!J129+ระยอง!J129+ราชบุรี!J129+ลพบุรี!J129+สระแก้ว!J129+สระบุรี!J129+สิงห์บุรี!J129+สุพรรณบุรี!J129+อ่างทอง!J129</f>
        <v>30</v>
      </c>
      <c r="K129" s="150">
        <f ca="1">IF(I129&gt;0,J129*100/I129,0)</f>
        <v>7.8947368421052628</v>
      </c>
      <c r="L129" s="147">
        <f ca="1">กาญจนบุรี!L129+จันทบุรี!L129+ฉะเชิงเทรา!L129+ชลบุรี!L129+ชัยนาท!L129+ตราด!L129+นครนายก!L129+นครปฐม!L129+ปทุมธานี!L129+ประจวบคีรีขันธ์!L129+ปราจีนบุรี!L129+พระนครศรีอยุธยา!L129+เพชรบุรี!L129+ระยอง!L129+ราชบุรี!L129+ลพบุรี!L129+สระแก้ว!L129+สระบุรี!L129+สิงห์บุรี!L129+สุพรรณบุรี!L129+อ่างทอง!L129</f>
        <v>1830700</v>
      </c>
      <c r="M129" s="147">
        <f>กาญจนบุรี!M129+จันทบุรี!M129+ฉะเชิงเทรา!M129+ชลบุรี!M129+ชัยนาท!M129+ตราด!M129+นครนายก!M129+นครปฐม!M129+ปทุมธานี!M129+ประจวบคีรีขันธ์!M129+ปราจีนบุรี!M129+พระนครศรีอยุธยา!M129+เพชรบุรี!M129+ระยอง!M129+ราชบุรี!M129+ลพบุรี!M129+สระแก้ว!M129+สระบุรี!M129+สิงห์บุรี!M129+สุพรรณบุรี!M129+อ่างทอง!M129</f>
        <v>37080</v>
      </c>
      <c r="N129" s="147">
        <f t="shared" ref="N129:N132" ca="1" si="14">+IF(L129&gt;0,M129*100/L129,0)</f>
        <v>2.0254547440869612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f>กาญจนบุรี!L130+จันทบุรี!L130+ฉะเชิงเทรา!L130+ชลบุรี!L130+ชัยนาท!L130+ตราด!L130+นครนายก!L130+นครปฐม!L130+ปทุมธานี!L130+ประจวบคีรีขันธ์!L130+ปราจีนบุรี!L130+พระนครศรีอยุธยา!L130+เพชรบุรี!L130+ระยอง!L130+ราชบุรี!L130+ลพบุรี!L130+สระแก้ว!L130+สระบุรี!L130+สิงห์บุรี!L130+สุพรรณบุรี!L130+อ่างทอง!L130</f>
        <v>0</v>
      </c>
      <c r="M130" s="49">
        <f>กาญจนบุรี!M130+จันทบุรี!M130+ฉะเชิงเทรา!M130+ชลบุรี!M130+ชัยนาท!M130+ตราด!M130+นครนายก!M130+นครปฐม!M130+ปทุมธานี!M130+ประจวบคีรีขันธ์!M130+ปราจีนบุรี!M130+พระนครศรีอยุธยา!M130+เพชรบุรี!M130+ระยอง!M130+ราชบุรี!M130+ลพบุรี!M130+สระแก้ว!M130+สระบุรี!M130+สิงห์บุรี!M130+สุพรรณบุรี!M130+อ่างทอง!M130</f>
        <v>0</v>
      </c>
      <c r="N130" s="49">
        <f t="shared" si="14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กาญจนบุรี!L131+จันทบุรี!L131+ฉะเชิงเทรา!L131+ชลบุรี!L131+ชัยนาท!L131+ตราด!L131+นครนายก!L131+นครปฐม!L131+ปทุมธานี!L131+ประจวบคีรีขันธ์!L131+ปราจีนบุรี!L131+พระนครศรีอยุธยา!L131+เพชรบุรี!L131+ระยอง!L131+ราชบุรี!L131+ลพบุรี!L131+สระแก้ว!L131+สระบุรี!L131+สิงห์บุรี!L131+สุพรรณบุรี!L131+อ่างทอง!L131</f>
        <v>1830700</v>
      </c>
      <c r="M131" s="49">
        <f>กาญจนบุรี!M131+จันทบุรี!M131+ฉะเชิงเทรา!M131+ชลบุรี!M131+ชัยนาท!M131+ตราด!M131+นครนายก!M131+นครปฐม!M131+ปทุมธานี!M131+ประจวบคีรีขันธ์!M131+ปราจีนบุรี!M131+พระนครศรีอยุธยา!M131+เพชรบุรี!M131+ระยอง!M131+ราชบุรี!M131+ลพบุรี!M131+สระแก้ว!M131+สระบุรี!M131+สิงห์บุรี!M131+สุพรรณบุรี!M131+อ่างทอง!M131</f>
        <v>37080</v>
      </c>
      <c r="N131" s="49">
        <f t="shared" ca="1" si="14"/>
        <v>2.0254547440869612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47"/>
      <c r="K132" s="48"/>
      <c r="L132" s="52">
        <f ca="1">กาญจนบุรี!L132+จันทบุรี!L132+ฉะเชิงเทรา!L132+ชลบุรี!L132+ชัยนาท!L132+ตราด!L132+นครนายก!L132+นครปฐม!L132+ปทุมธานี!L132+ประจวบคีรีขันธ์!L132+ปราจีนบุรี!L132+พระนครศรีอยุธยา!L132+เพชรบุรี!L132+ระยอง!L132+ราชบุรี!L132+ลพบุรี!L132+สระแก้ว!L132+สระบุรี!L132+สิงห์บุรี!L132+สุพรรณบุรี!L132+อ่างทอง!L132</f>
        <v>1830700</v>
      </c>
      <c r="M132" s="53">
        <f>กาญจนบุรี!M132+จันทบุรี!M132+ฉะเชิงเทรา!M132+ชลบุรี!M132+ชัยนาท!M132+ตราด!M132+นครนายก!M132+นครปฐม!M132+ปทุมธานี!M132+ประจวบคีรีขันธ์!M132+ปราจีนบุรี!M132+พระนครศรีอยุธยา!M132+เพชรบุรี!M132+ระยอง!M132+ราชบุรี!M132+ลพบุรี!M132+สระแก้ว!M132+สระบุรี!M132+สิงห์บุรี!M132+สุพรรณบุรี!M132+อ่างทอง!M132</f>
        <v>37080</v>
      </c>
      <c r="N132" s="52">
        <f t="shared" ca="1" si="14"/>
        <v>2.0254547440869612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47"/>
      <c r="K133" s="48"/>
      <c r="L133" s="60"/>
      <c r="M133" s="60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7">
        <f>กาญจนบุรี!J134+จันทบุรี!J134+ฉะเชิงเทรา!J134+ชลบุรี!J134+ชัยนาท!J134+ตราด!J134+นครนายก!J134+นครปฐม!J134+ปทุมธานี!J134+ประจวบคีรีขันธ์!J134+ปราจีนบุรี!J134+พระนครศรีอยุธยา!J134+เพชรบุรี!J134+ระยอง!J134+ราชบุรี!J134+ลพบุรี!J134+สระแก้ว!J134+สระบุรี!J134+สิงห์บุรี!J134+สุพรรณบุรี!J134+อ่างทอง!J134</f>
        <v>3</v>
      </c>
      <c r="K134" s="48"/>
      <c r="L134" s="60"/>
      <c r="M134" s="60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7">
        <f>กาญจนบุรี!J135+จันทบุรี!J135+ฉะเชิงเทรา!J135+ชลบุรี!J135+ชัยนาท!J135+ตราด!J135+นครนายก!J135+นครปฐม!J135+ปทุมธานี!J135+ประจวบคีรีขันธ์!J135+ปราจีนบุรี!J135+พระนครศรีอยุธยา!J135+เพชรบุรี!J135+ระยอง!J135+ราชบุรี!J135+ลพบุรี!J135+สระแก้ว!J135+สระบุรี!J135+สิงห์บุรี!J135+สุพรรณบุรี!J135+อ่างทอง!J135</f>
        <v>4</v>
      </c>
      <c r="K135" s="48"/>
      <c r="L135" s="60" t="s">
        <v>21</v>
      </c>
      <c r="M135" s="60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7">
        <f>กาญจนบุรี!J136+จันทบุรี!J136+ฉะเชิงเทรา!J136+ชลบุรี!J136+ชัยนาท!J136+ตราด!J136+นครนายก!J136+นครปฐม!J136+ปทุมธานี!J136+ประจวบคีรีขันธ์!J136+ปราจีนบุรี!J136+พระนครศรีอยุธยา!J136+เพชรบุรี!J136+ระยอง!J136+ราชบุรี!J136+ลพบุรี!J136+สระแก้ว!J136+สระบุรี!J136+สิงห์บุรี!J136+สุพรรณบุรี!J136+อ่างทอง!J136</f>
        <v>3</v>
      </c>
      <c r="K136" s="48"/>
      <c r="L136" s="60"/>
      <c r="M136" s="60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7">
        <f>กาญจนบุรี!J137+จันทบุรี!J137+ฉะเชิงเทรา!J137+ชลบุรี!J137+ชัยนาท!J137+ตราด!J137+นครนายก!J137+นครปฐม!J137+ปทุมธานี!J137+ประจวบคีรีขันธ์!J137+ปราจีนบุรี!J137+พระนครศรีอยุธยา!J137+เพชรบุรี!J137+ระยอง!J137+ราชบุรี!J137+ลพบุรี!J137+สระแก้ว!J137+สระบุรี!J137+สิงห์บุรี!J137+สุพรรณบุรี!J137+อ่างทอง!J137</f>
        <v>2</v>
      </c>
      <c r="K137" s="48"/>
      <c r="L137" s="60"/>
      <c r="M137" s="60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กาญจนบุรี!I138+จันทบุรี!I138+ฉะเชิงเทรา!I138+ชลบุรี!I138+ชัยนาท!I138+ตราด!I138+นครนายก!I138+นครปฐม!I138+ปทุมธานี!I138+ประจวบคีรีขันธ์!I138+ปราจีนบุรี!I138+พระนครศรีอยุธยา!I138+เพชรบุรี!I138+ระยอง!I138+ราชบุรี!I138+ลพบุรี!I138+สระแก้ว!I138+สระบุรี!I138+สิงห์บุรี!I138+สุพรรณบุรี!I138+อ่างทอง!I138</f>
        <v>380</v>
      </c>
      <c r="J138" s="153">
        <f>กาญจนบุรี!J138+จันทบุรี!J138+ฉะเชิงเทรา!J138+ชลบุรี!J138+ชัยนาท!J138+ตราด!J138+นครนายก!J138+นครปฐม!J138+ปทุมธานี!J138+ประจวบคีรีขันธ์!J138+ปราจีนบุรี!J138+พระนครศรีอยุธยา!J138+เพชรบุรี!J138+ระยอง!J138+ราชบุรี!J138+ลพบุรี!J138+สระแก้ว!J138+สระบุรี!J138+สิงห์บุรี!J138+สุพรรณบุรี!J138+อ่างทอง!J138</f>
        <v>30</v>
      </c>
      <c r="K138" s="79">
        <f ca="1">IF(I138&gt;0,J138*100/I138,0)</f>
        <v>7.8947368421052628</v>
      </c>
      <c r="L138" s="60"/>
      <c r="M138" s="60"/>
      <c r="N138" s="60"/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48"/>
      <c r="L139" s="60"/>
      <c r="M139" s="60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47">
        <f ca="1">กาญจนบุรี!I140+จันทบุรี!I140+ฉะเชิงเทรา!I140+ชลบุรี!I140+ชัยนาท!I140+ตราด!I140+นครนายก!I140+นครปฐม!I140+ปทุมธานี!I140+ประจวบคีรีขันธ์!I140+ปราจีนบุรี!I140+พระนครศรีอยุธยา!I140+เพชรบุรี!I140+ระยอง!I140+ราชบุรี!I140+ลพบุรี!I140+สระแก้ว!I140+สระบุรี!I140+สิงห์บุรี!I140+สุพรรณบุรี!I140+อ่างทอง!I140</f>
        <v>130</v>
      </c>
      <c r="J140" s="67">
        <f>กาญจนบุรี!J140+จันทบุรี!J140+ฉะเชิงเทรา!J140+ชลบุรี!J140+ชัยนาท!J140+ตราด!J140+นครนายก!J140+นครปฐม!J140+ปทุมธานี!J140+ประจวบคีรีขันธ์!J140+ปราจีนบุรี!J140+พระนครศรีอยุธยา!J140+เพชรบุรี!J140+ระยอง!J140+ราชบุรี!J140+ลพบุรี!J140+สระแก้ว!J140+สระบุรี!J140+สิงห์บุรี!J140+สุพรรณบุรี!J140+อ่างทอง!J140</f>
        <v>0</v>
      </c>
      <c r="K140" s="48">
        <f t="shared" ref="K140:K141" ca="1" si="15">IF(I140&gt;0,J140*100/I140,0)</f>
        <v>0</v>
      </c>
      <c r="L140" s="60"/>
      <c r="M140" s="60"/>
      <c r="N140" s="60"/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47">
        <f ca="1">กาญจนบุรี!I141+จันทบุรี!I141+ฉะเชิงเทรา!I141+ชลบุรี!I141+ชัยนาท!I141+ตราด!I141+นครนายก!I141+นครปฐม!I141+ปทุมธานี!I141+ประจวบคีรีขันธ์!I141+ปราจีนบุรี!I141+พระนครศรีอยุธยา!I141+เพชรบุรี!I141+ระยอง!I141+ราชบุรี!I141+ลพบุรี!I141+สระแก้ว!I141+สระบุรี!I141+สิงห์บุรี!I141+สุพรรณบุรี!I141+อ่างทอง!I141</f>
        <v>0</v>
      </c>
      <c r="J141" s="67">
        <f>กาญจนบุรี!J141+จันทบุรี!J141+ฉะเชิงเทรา!J141+ชลบุรี!J141+ชัยนาท!J141+ตราด!J141+นครนายก!J141+นครปฐม!J141+ปทุมธานี!J141+ประจวบคีรีขันธ์!J141+ปราจีนบุรี!J141+พระนครศรีอยุธยา!J141+เพชรบุรี!J141+ระยอง!J141+ราชบุรี!J141+ลพบุรี!J141+สระแก้ว!J141+สระบุรี!J141+สิงห์บุรี!J141+สุพรรณบุรี!J141+อ่างทอง!J141</f>
        <v>0</v>
      </c>
      <c r="K141" s="48">
        <f t="shared" ca="1" si="15"/>
        <v>0</v>
      </c>
      <c r="L141" s="60"/>
      <c r="M141" s="60"/>
      <c r="N141" s="60"/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7">
        <f>กาญจนบุรี!J142+จันทบุรี!J142+ฉะเชิงเทรา!J142+ชลบุรี!J142+ชัยนาท!J142+ตราด!J142+นครนายก!J142+นครปฐม!J142+ปทุมธานี!J142+ประจวบคีรีขันธ์!J142+ปราจีนบุรี!J142+พระนครศรีอยุธยา!J142+เพชรบุรี!J142+ระยอง!J142+ราชบุรี!J142+ลพบุรี!J142+สระแก้ว!J142+สระบุรี!J142+สิงห์บุรี!J142+สุพรรณบุรี!J142+อ่างทอง!J142</f>
        <v>0</v>
      </c>
      <c r="K142" s="48"/>
      <c r="L142" s="60"/>
      <c r="M142" s="60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112">
        <f>กาญจนบุรี!J143+จันทบุรี!J143+ฉะเชิงเทรา!J143+ชลบุรี!J143+ชัยนาท!J143+ตราด!J143+นครนายก!J143+นครปฐม!J143+ปทุมธานี!J143+ประจวบคีรีขันธ์!J143+ปราจีนบุรี!J143+พระนครศรีอยุธยา!J143+เพชรบุรี!J143+ระยอง!J143+ราชบุรี!J143+ลพบุรี!J143+สระแก้ว!J143+สระบุรี!J143+สิงห์บุรี!J143+สุพรรณบุรี!J143+อ่างทอง!J143</f>
        <v>0</v>
      </c>
      <c r="K143" s="113"/>
      <c r="L143" s="114"/>
      <c r="M143" s="114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ca="1">กาญจนบุรี!I144+จันทบุรี!I144+ฉะเชิงเทรา!I144+ชลบุรี!I144+ชัยนาท!I144+ตราด!I144+นครนายก!I144+นครปฐม!I144+ปทุมธานี!I144+ประจวบคีรีขันธ์!I144+ปราจีนบุรี!I144+พระนครศรีอยุธยา!I144+เพชรบุรี!I144+ระยอง!I144+ราชบุรี!I144+ลพบุรี!I144+สระแก้ว!I144+สระบุรี!I144+สิงห์บุรี!I144+สุพรรณบุรี!I144+อ่างทอง!I144</f>
        <v>256</v>
      </c>
      <c r="J144" s="136">
        <f>กาญจนบุรี!J144+จันทบุรี!J144+ฉะเชิงเทรา!J144+ชลบุรี!J144+ชัยนาท!J144+ตราด!J144+นครนายก!J144+นครปฐม!J144+ปทุมธานี!J144+ประจวบคีรีขันธ์!J144+ปราจีนบุรี!J144+พระนครศรีอยุธยา!J144+เพชรบุรี!J144+ระยอง!J144+ราชบุรี!J144+ลพบุรี!J144+สระแก้ว!J144+สระบุรี!J144+สิงห์บุรี!J144+สุพรรณบุรี!J144+อ่างทอง!J144</f>
        <v>15</v>
      </c>
      <c r="K144" s="137">
        <f ca="1">IF(I144&gt;0,J144*100/I144,0)</f>
        <v>5.859375</v>
      </c>
      <c r="L144" s="138">
        <f ca="1">กาญจนบุรี!L144+จันทบุรี!L144+ฉะเชิงเทรา!L144+ชลบุรี!L144+ชัยนาท!L144+ตราด!L144+นครนายก!L144+นครปฐม!L144+ปทุมธานี!L144+ประจวบคีรีขันธ์!L144+ปราจีนบุรี!L144+พระนครศรีอยุธยา!L144+เพชรบุรี!L144+ระยอง!L144+ราชบุรี!L144+ลพบุรี!L144+สระแก้ว!L144+สระบุรี!L144+สิงห์บุรี!L144+สุพรรณบุรี!L144+อ่างทอง!L144</f>
        <v>367440</v>
      </c>
      <c r="M144" s="138">
        <f>กาญจนบุรี!M144+จันทบุรี!M144+ฉะเชิงเทรา!M144+ชลบุรี!M144+ชัยนาท!M144+ตราด!M144+นครนายก!M144+นครปฐม!M144+ปทุมธานี!M144+ประจวบคีรีขันธ์!M144+ปราจีนบุรี!M144+พระนครศรีอยุธยา!M144+เพชรบุรี!M144+ระยอง!M144+ราชบุรี!M144+ลพบุรี!M144+สระแก้ว!M144+สระบุรี!M144+สิงห์บุรี!M144+สุพรรณบุรี!M144+อ่างทอง!M144</f>
        <v>35165</v>
      </c>
      <c r="N144" s="137">
        <f ca="1">IF(L144&gt;0,M144*100/L144,0)</f>
        <v>9.5702699760505112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f>กาญจนบุรี!L145+จันทบุรี!L145+ฉะเชิงเทรา!L145+ชลบุรี!L145+ชัยนาท!L145+ตราด!L145+นครนายก!L145+นครปฐม!L145+ปทุมธานี!L145+ประจวบคีรีขันธ์!L145+ปราจีนบุรี!L145+พระนครศรีอยุธยา!L145+เพชรบุรี!L145+ระยอง!L145+ราชบุรี!L145+ลพบุรี!L145+สระแก้ว!L145+สระบุรี!L145+สิงห์บุรี!L145+สุพรรณบุรี!L145+อ่างทอง!L145</f>
        <v>0</v>
      </c>
      <c r="M145" s="49">
        <f>กาญจนบุรี!M145+จันทบุรี!M145+ฉะเชิงเทรา!M145+ชลบุรี!M145+ชัยนาท!M145+ตราด!M145+นครนายก!M145+นครปฐม!M145+ปทุมธานี!M145+ประจวบคีรีขันธ์!M145+ปราจีนบุรี!M145+พระนครศรีอยุธยา!M145+เพชรบุรี!M145+ระยอง!M145+ราชบุรี!M145+ลพบุรี!M145+สระแก้ว!M145+สระบุรี!M145+สิงห์บุรี!M145+สุพรรณบุรี!M145+อ่างทอง!M145</f>
        <v>0</v>
      </c>
      <c r="N145" s="49">
        <f t="shared" ref="N145:N148" si="16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ca="1">กาญจนบุรี!L146+จันทบุรี!L146+ฉะเชิงเทรา!L146+ชลบุรี!L146+ชัยนาท!L146+ตราด!L146+นครนายก!L146+นครปฐม!L146+ปทุมธานี!L146+ประจวบคีรีขันธ์!L146+ปราจีนบุรี!L146+พระนครศรีอยุธยา!L146+เพชรบุรี!L146+ระยอง!L146+ราชบุรี!L146+ลพบุรี!L146+สระแก้ว!L146+สระบุรี!L146+สิงห์บุรี!L146+สุพรรณบุรี!L146+อ่างทอง!L146</f>
        <v>367440</v>
      </c>
      <c r="M146" s="49">
        <f>กาญจนบุรี!M146+จันทบุรี!M146+ฉะเชิงเทรา!M146+ชลบุรี!M146+ชัยนาท!M146+ตราด!M146+นครนายก!M146+นครปฐม!M146+ปทุมธานี!M146+ประจวบคีรีขันธ์!M146+ปราจีนบุรี!M146+พระนครศรีอยุธยา!M146+เพชรบุรี!M146+ระยอง!M146+ราชบุรี!M146+ลพบุรี!M146+สระแก้ว!M146+สระบุรี!M146+สิงห์บุรี!M146+สุพรรณบุรี!M146+อ่างทอง!M146</f>
        <v>35165</v>
      </c>
      <c r="N146" s="49">
        <f t="shared" ca="1" si="16"/>
        <v>9.5702699760505112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f>กาญจนบุรี!L147+จันทบุรี!L147+ฉะเชิงเทรา!L147+ชลบุรี!L147+ชัยนาท!L147+ตราด!L147+นครนายก!L147+นครปฐม!L147+ปทุมธานี!L147+ประจวบคีรีขันธ์!L147+ปราจีนบุรี!L147+พระนครศรีอยุธยา!L147+เพชรบุรี!L147+ระยอง!L147+ราชบุรี!L147+ลพบุรี!L147+สระแก้ว!L147+สระบุรี!L147+สิงห์บุรี!L147+สุพรรณบุรี!L147+อ่างทอง!L147</f>
        <v>0</v>
      </c>
      <c r="M147" s="52">
        <f>กาญจนบุรี!M147+จันทบุรี!M147+ฉะเชิงเทรา!M147+ชลบุรี!M147+ชัยนาท!M147+ตราด!M147+นครนายก!M147+นครปฐม!M147+ปทุมธานี!M147+ประจวบคีรีขันธ์!M147+ปราจีนบุรี!M147+พระนครศรีอยุธยา!M147+เพชรบุรี!M147+ระยอง!M147+ราชบุรี!M147+ลพบุรี!M147+สระแก้ว!M147+สระบุรี!M147+สิงห์บุรี!M147+สุพรรณบุรี!M147+อ่างทอง!M147</f>
        <v>0</v>
      </c>
      <c r="N147" s="52">
        <f t="shared" si="16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กาญจนบุรี!L148+จันทบุรี!L148+ฉะเชิงเทรา!L148+ชลบุรี!L148+ชัยนาท!L148+ตราด!L148+นครนายก!L148+นครปฐม!L148+ปทุมธานี!L148+ประจวบคีรีขันธ์!L148+ปราจีนบุรี!L148+พระนครศรีอยุธยา!L148+เพชรบุรี!L148+ระยอง!L148+ราชบุรี!L148+ลพบุรี!L148+สระแก้ว!L148+สระบุรี!L148+สิงห์บุรี!L148+สุพรรณบุรี!L148+อ่างทอง!L148</f>
        <v>367440</v>
      </c>
      <c r="M148" s="53">
        <f>กาญจนบุรี!M148+จันทบุรี!M148+ฉะเชิงเทรา!M148+ชลบุรี!M148+ชัยนาท!M148+ตราด!M148+นครนายก!M148+นครปฐม!M148+ปทุมธานี!M148+ประจวบคีรีขันธ์!M148+ปราจีนบุรี!M148+พระนครศรีอยุธยา!M148+เพชรบุรี!M148+ระยอง!M148+ราชบุรี!M148+ลพบุรี!M148+สระแก้ว!M148+สระบุรี!M148+สิงห์บุรี!M148+สุพรรณบุรี!M148+อ่างทอง!M148</f>
        <v>35165</v>
      </c>
      <c r="N148" s="52">
        <f t="shared" ca="1" si="16"/>
        <v>9.5702699760505112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กาญจนบุรี!I149+จันทบุรี!I149+ฉะเชิงเทรา!I149+ชลบุรี!I149+ชัยนาท!I149+ตราด!I149+นครนายก!I149+นครปฐม!I149+ปทุมธานี!I149+ประจวบคีรีขันธ์!I149+ปราจีนบุรี!I149+พระนครศรีอยุธยา!I149+เพชรบุรี!I149+ระยอง!I149+ราชบุรี!I149+ลพบุรี!I149+สระแก้ว!I149+สระบุรี!I149+สิงห์บุรี!I149+สุพรรณบุรี!I149+อ่างทอง!I149</f>
        <v>256</v>
      </c>
      <c r="J149" s="136">
        <f>กาญจนบุรี!J149+จันทบุรี!J149+ฉะเชิงเทรา!J149+ชลบุรี!J149+ชัยนาท!J149+ตราด!J149+นครนายก!J149+นครปฐม!J149+ปทุมธานี!J149+ประจวบคีรีขันธ์!J149+ปราจีนบุรี!J149+พระนครศรีอยุธยา!J149+เพชรบุรี!J149+ระยอง!J149+ราชบุรี!J149+ลพบุรี!J149+สระแก้ว!J149+สระบุรี!J149+สิงห์บุรี!J149+สุพรรณบุรี!J149+อ่างทอง!J149</f>
        <v>15</v>
      </c>
      <c r="K149" s="137">
        <f ca="1">IF(I149&gt;0,J149*100/I149,0)</f>
        <v>5.859375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f>กาญจนบุรี!J151+จันทบุรี!J151+ฉะเชิงเทรา!J151+ชลบุรี!J151+ชัยนาท!J151+ตราด!J151+นครนายก!J151+นครปฐม!J151+ปทุมธานี!J151+ประจวบคีรีขันธ์!J151+ปราจีนบุรี!J151+พระนครศรีอยุธยา!J151+เพชรบุรี!J151+ระยอง!J151+ราชบุรี!J151+ลพบุรี!J151+สระแก้ว!J151+สระบุรี!J151+สิงห์บุรี!J151+สุพรรณบุรี!J151+อ่างทอง!J151</f>
        <v>3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f>กาญจนบุรี!J152+จันทบุรี!J152+ฉะเชิงเทรา!J152+ชลบุรี!J152+ชัยนาท!J152+ตราด!J152+นครนายก!J152+นครปฐม!J152+ปทุมธานี!J152+ประจวบคีรีขันธ์!J152+ปราจีนบุรี!J152+พระนครศรีอยุธยา!J152+เพชรบุรี!J152+ระยอง!J152+ราชบุรี!J152+ลพบุรี!J152+สระแก้ว!J152+สระบุรี!J152+สิงห์บุรี!J152+สุพรรณบุรี!J152+อ่างทอง!J152</f>
        <v>10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f>กาญจนบุรี!J153+จันทบุรี!J153+ฉะเชิงเทรา!J153+ชลบุรี!J153+ชัยนาท!J153+ตราด!J153+นครนายก!J153+นครปฐม!J153+ปทุมธานี!J153+ประจวบคีรีขันธ์!J153+ปราจีนบุรี!J153+พระนครศรีอยุธยา!J153+เพชรบุรี!J153+ระยอง!J153+ราชบุรี!J153+ลพบุรี!J153+สระแก้ว!J153+สระบุรี!J153+สิงห์บุรี!J153+สุพรรณบุรี!J153+อ่างทอง!J153</f>
        <v>7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1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80</v>
      </c>
      <c r="H155" s="65" t="s">
        <v>16</v>
      </c>
      <c r="I155" s="66">
        <f ca="1">กาญจนบุรี!I155+จันทบุรี!I155+ฉะเชิงเทรา!I155+ชลบุรี!I155+ชัยนาท!I155+ตราด!I155+นครนายก!I155+นครปฐม!I155+ปทุมธานี!I155+ประจวบคีรีขันธ์!I155+ปราจีนบุรี!I155+พระนครศรีอยุธยา!I155+เพชรบุรี!I155+ระยอง!I155+ราชบุรี!I155+ลพบุรี!I155+สระแก้ว!I155+สระบุรี!I155+สิงห์บุรี!I155+สุพรรณบุรี!I155+อ่างทอง!I155</f>
        <v>256</v>
      </c>
      <c r="J155" s="67">
        <f>กาญจนบุรี!J155+จันทบุรี!J155+ฉะเชิงเทรา!J155+ชลบุรี!J155+ชัยนาท!J155+ตราด!J155+นครนายก!J155+นครปฐม!J155+ปทุมธานี!J155+ประจวบคีรีขันธ์!J155+ปราจีนบุรี!J155+พระนครศรีอยุธยา!J155+เพชรบุรี!J155+ระยอง!J155+ราชบุรี!J155+ลพบุรี!J155+สระแก้ว!J155+สระบุรี!J155+สิงห์บุรี!J155+สุพรรณบุรี!J155+อ่างทอง!J155</f>
        <v>15</v>
      </c>
      <c r="K155" s="48">
        <f ca="1">IF(I155&gt;0,J155*100/I155,0)</f>
        <v>5.859375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f>กาญจนบุรี!J156+จันทบุรี!J156+ฉะเชิงเทรา!J156+ชลบุรี!J156+ชัยนาท!J156+ตราด!J156+นครนายก!J156+นครปฐม!J156+ปทุมธานี!J156+ประจวบคีรีขันธ์!J156+ปราจีนบุรี!J156+พระนครศรีอยุธยา!J156+เพชรบุรี!J156+ระยอง!J156+ราชบุรี!J156+ลพบุรี!J156+สระแก้ว!J156+สระบุรี!J156+สิงห์บุรี!J156+สุพรรณบุรี!J156+อ่างทอง!J156</f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f>กาญจนบุรี!J157+จันทบุรี!J157+ฉะเชิงเทรา!J157+ชลบุรี!J157+ชัยนาท!J157+ตราด!J157+นครนายก!J157+นครปฐม!J157+ปทุมธานี!J157+ประจวบคีรีขันธ์!J157+ปราจีนบุรี!J157+พระนครศรีอยุธยา!J157+เพชรบุรี!J157+ระยอง!J157+ราชบุรี!J157+ลพบุรี!J157+สระแก้ว!J157+สระบุรี!J157+สิงห์บุรี!J157+สุพรรณบุรี!J157+อ่างทอง!J157</f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กาญจนบุรี!I158+จันทบุรี!I158+ฉะเชิงเทรา!I158+ชลบุรี!I158+ชัยนาท!I158+ตราด!I158+นครนายก!I158+นครปฐม!I158+ปทุมธานี!I158+ประจวบคีรีขันธ์!I158+ปราจีนบุรี!I158+พระนครศรีอยุธยา!I158+เพชรบุรี!I158+ระยอง!I158+ราชบุรี!I158+ลพบุรี!I158+สระแก้ว!I158+สระบุรี!I158+สิงห์บุรี!I158+สุพรรณบุรี!I158+อ่างทอง!I158</f>
        <v>0</v>
      </c>
      <c r="J158" s="136">
        <f>กาญจนบุรี!J158+จันทบุรี!J158+ฉะเชิงเทรา!J158+ชลบุรี!J158+ชัยนาท!J158+ตราด!J158+นครนายก!J158+นครปฐม!J158+ปทุมธานี!J158+ประจวบคีรีขันธ์!J158+ปราจีนบุรี!J158+พระนครศรีอยุธยา!J158+เพชรบุรี!J158+ระยอง!J158+ราชบุรี!J158+ลพบุรี!J158+สระแก้ว!J158+สระบุรี!J158+สิงห์บุรี!J158+สุพรรณบุรี!J158+อ่างทอง!J158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7">
        <f>กาญจนบุรี!J160+จันทบุรี!J160+ฉะเชิงเทรา!J160+ชลบุรี!J160+ชัยนาท!J160+ตราด!J160+นครนายก!J160+นครปฐม!J160+ปทุมธานี!J160+ประจวบคีรีขันธ์!J160+ปราจีนบุรี!J160+พระนครศรีอยุธยา!J160+เพชรบุรี!J160+ระยอง!J160+ราชบุรี!J160+ลพบุรี!J160+สระแก้ว!J160+สระบุรี!J160+สิงห์บุรี!J160+สุพรรณบุรี!J160+อ่างทอง!J160</f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7">
        <f>กาญจนบุรี!J161+จันทบุรี!J161+ฉะเชิงเทรา!J161+ชลบุรี!J161+ชัยนาท!J161+ตราด!J161+นครนายก!J161+นครปฐม!J161+ปทุมธานี!J161+ประจวบคีรีขันธ์!J161+ปราจีนบุรี!J161+พระนครศรีอยุธยา!J161+เพชรบุรี!J161+ระยอง!J161+ราชบุรี!J161+ลพบุรี!J161+สระแก้ว!J161+สระบุรี!J161+สิงห์บุรี!J161+สุพรรณบุรี!J161+อ่างทอง!J161</f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7">
        <f>กาญจนบุรี!J162+จันทบุรี!J162+ฉะเชิงเทรา!J162+ชลบุรี!J162+ชัยนาท!J162+ตราด!J162+นครนายก!J162+นครปฐม!J162+ปทุมธานี!J162+ประจวบคีรีขันธ์!J162+ปราจีนบุรี!J162+พระนครศรีอยุธยา!J162+เพชรบุรี!J162+ระยอง!J162+ราชบุรี!J162+ลพบุรี!J162+สระแก้ว!J162+สระบุรี!J162+สิงห์บุรี!J162+สุพรรณบุรี!J162+อ่างทอง!J162</f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7">
        <f>กาญจนบุรี!J163+จันทบุรี!J163+ฉะเชิงเทรา!J163+ชลบุรี!J163+ชัยนาท!J163+ตราด!J163+นครนายก!J163+นครปฐม!J163+ปทุมธานี!J163+ประจวบคีรีขันธ์!J163+ปราจีนบุรี!J163+พระนครศรีอยุธยา!J163+เพชรบุรี!J163+ระยอง!J163+ราชบุรี!J163+ลพบุรี!J163+สระแก้ว!J163+สระบุรี!J163+สิงห์บุรี!J163+สุพรรณบุรี!J163+อ่างทอง!J163</f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f>กาญจนบุรี!I164+จันทบุรี!I164+ฉะเชิงเทรา!I164+ชลบุรี!I164+ชัยนาท!I164+ตราด!I164+นครนายก!I164+นครปฐม!I164+ปทุมธานี!I164+ประจวบคีรีขันธ์!I164+ปราจีนบุรี!I164+พระนครศรีอยุธยา!I164+เพชรบุรี!I164+ระยอง!I164+ราชบุรี!I164+ลพบุรี!I164+สระแก้ว!I164+สระบุรี!I164+สิงห์บุรี!I164+สุพรรณบุรี!I164+อ่างทอง!I164</f>
        <v>0</v>
      </c>
      <c r="J164" s="67">
        <f>กาญจนบุรี!J164+จันทบุรี!J164+ฉะเชิงเทรา!J164+ชลบุรี!J164+ชัยนาท!J164+ตราด!J164+นครนายก!J164+นครปฐม!J164+ปทุมธานี!J164+ประจวบคีรีขันธ์!J164+ปราจีนบุรี!J164+พระนครศรีอยุธยา!J164+เพชรบุรี!J164+ระยอง!J164+ราชบุรี!J164+ลพบุรี!J164+สระแก้ว!J164+สระบุรี!J164+สิงห์บุรี!J164+สุพรรณบุรี!J164+อ่างทอง!J164</f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7">
        <f>กาญจนบุรี!J165+จันทบุรี!J165+ฉะเชิงเทรา!J165+ชลบุรี!J165+ชัยนาท!J165+ตราด!J165+นครนายก!J165+นครปฐม!J165+ปทุมธานี!J165+ประจวบคีรีขันธ์!J165+ปราจีนบุรี!J165+พระนครศรีอยุธยา!J165+เพชรบุรี!J165+ระยอง!J165+ราชบุรี!J165+ลพบุรี!J165+สระแก้ว!J165+สระบุรี!J165+สิงห์บุรี!J165+สุพรรณบุรี!J165+อ่างทอง!J165</f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112">
        <f>กาญจนบุรี!J166+จันทบุรี!J166+ฉะเชิงเทรา!J166+ชลบุรี!J166+ชัยนาท!J166+ตราด!J166+นครนายก!J166+นครปฐม!J166+ปทุมธานี!J166+ประจวบคีรีขันธ์!J166+ปราจีนบุรี!J166+พระนครศรีอยุธยา!J166+เพชรบุรี!J166+ระยอง!J166+ราชบุรี!J166+ลพบุรี!J166+สระแก้ว!J166+สระบุรี!J166+สิงห์บุรี!J166+สุพรรณบุรี!J166+อ่างทอง!J166</f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กาญจนบุรี!I169+จันทบุรี!I169+ฉะเชิงเทรา!I169+ชลบุรี!I169+ชัยนาท!I169+ตราด!I169+นครนายก!I169+นครปฐม!I169+ปทุมธานี!I169+ประจวบคีรีขันธ์!I169+ปราจีนบุรี!I169+พระนครศรีอยุธยา!I169+เพชรบุรี!I169+ระยอง!I169+ราชบุรี!I169+ลพบุรี!I169+สระแก้ว!I169+สระบุรี!I169+สิงห์บุรี!I169+สุพรรณบุรี!I169+อ่างทอง!I169</f>
        <v>195</v>
      </c>
      <c r="J169" s="177">
        <f>กาญจนบุรี!J169+จันทบุรี!J169+ฉะเชิงเทรา!J169+ชลบุรี!J169+ชัยนาท!J169+ตราด!J169+นครนายก!J169+นครปฐม!J169+ปทุมธานี!J169+ประจวบคีรีขันธ์!J169+ปราจีนบุรี!J169+พระนครศรีอยุธยา!J169+เพชรบุรี!J169+ระยอง!J169+ราชบุรี!J169+ลพบุรี!J169+สระแก้ว!J169+สระบุรี!J169+สิงห์บุรี!J169+สุพรรณบุรี!J169+อ่างทอง!J169</f>
        <v>0</v>
      </c>
      <c r="K169" s="178">
        <f ca="1">IF(I169&gt;0,J169*100/I169,0)</f>
        <v>0</v>
      </c>
      <c r="L169" s="179">
        <f ca="1">กาญจนบุรี!L169+จันทบุรี!L169+ฉะเชิงเทรา!L169+ชลบุรี!L169+ชัยนาท!L169+ตราด!L169+นครนายก!L169+นครปฐม!L169+ปทุมธานี!L169+ประจวบคีรีขันธ์!L169+ปราจีนบุรี!L169+พระนครศรีอยุธยา!L169+เพชรบุรี!L169+ระยอง!L169+ราชบุรี!L169+ลพบุรี!L169+สระแก้ว!L169+สระบุรี!L169+สิงห์บุรี!L169+สุพรรณบุรี!L169+อ่างทอง!L169</f>
        <v>1135900</v>
      </c>
      <c r="M169" s="179">
        <f>กาญจนบุรี!M169+จันทบุรี!M169+ฉะเชิงเทรา!M169+ชลบุรี!M169+ชัยนาท!M169+ตราด!M169+นครนายก!M169+นครปฐม!M169+ปทุมธานี!M169+ประจวบคีรีขันธ์!M169+ปราจีนบุรี!M169+พระนครศรีอยุธยา!M169+เพชรบุรี!M169+ระยอง!M169+ราชบุรี!M169+ลพบุรี!M169+สระแก้ว!M169+สระบุรี!M169+สิงห์บุรี!M169+สุพรรณบุรี!M169+อ่างทอง!M169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f>กาญจนบุรี!L170+จันทบุรี!L170+ฉะเชิงเทรา!L170+ชลบุรี!L170+ชัยนาท!L170+ตราด!L170+นครนายก!L170+นครปฐม!L170+ปทุมธานี!L170+ประจวบคีรีขันธ์!L170+ปราจีนบุรี!L170+พระนครศรีอยุธยา!L170+เพชรบุรี!L170+ระยอง!L170+ราชบุรี!L170+ลพบุรี!L170+สระแก้ว!L170+สระบุรี!L170+สิงห์บุรี!L170+สุพรรณบุรี!L170+อ่างทอง!L170</f>
        <v>0</v>
      </c>
      <c r="M170" s="49">
        <f>กาญจนบุรี!M170+จันทบุรี!M170+ฉะเชิงเทรา!M170+ชลบุรี!M170+ชัยนาท!M170+ตราด!M170+นครนายก!M170+นครปฐม!M170+ปทุมธานี!M170+ประจวบคีรีขันธ์!M170+ปราจีนบุรี!M170+พระนครศรีอยุธยา!M170+เพชรบุรี!M170+ระยอง!M170+ราชบุรี!M170+ลพบุรี!M170+สระแก้ว!M170+สระบุรี!M170+สิงห์บุรี!M170+สุพรรณบุรี!M170+อ่างทอง!M170</f>
        <v>0</v>
      </c>
      <c r="N170" s="49">
        <f t="shared" ref="N170:N173" si="17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ca="1">กาญจนบุรี!L171+จันทบุรี!L171+ฉะเชิงเทรา!L171+ชลบุรี!L171+ชัยนาท!L171+ตราด!L171+นครนายก!L171+นครปฐม!L171+ปทุมธานี!L171+ประจวบคีรีขันธ์!L171+ปราจีนบุรี!L171+พระนครศรีอยุธยา!L171+เพชรบุรี!L171+ระยอง!L171+ราชบุรี!L171+ลพบุรี!L171+สระแก้ว!L171+สระบุรี!L171+สิงห์บุรี!L171+สุพรรณบุรี!L171+อ่างทอง!L171</f>
        <v>1135900</v>
      </c>
      <c r="M171" s="49">
        <f>กาญจนบุรี!M171+จันทบุรี!M171+ฉะเชิงเทรา!M171+ชลบุรี!M171+ชัยนาท!M171+ตราด!M171+นครนายก!M171+นครปฐม!M171+ปทุมธานี!M171+ประจวบคีรีขันธ์!M171+ปราจีนบุรี!M171+พระนครศรีอยุธยา!M171+เพชรบุรี!M171+ระยอง!M171+ราชบุรี!M171+ลพบุรี!M171+สระแก้ว!M171+สระบุรี!M171+สิงห์บุรี!M171+สุพรรณบุรี!M171+อ่างทอง!M171</f>
        <v>0</v>
      </c>
      <c r="N171" s="49">
        <f t="shared" ca="1" si="17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47"/>
      <c r="K172" s="48"/>
      <c r="L172" s="52">
        <f ca="1">กาญจนบุรี!L172+จันทบุรี!L172+ฉะเชิงเทรา!L172+ชลบุรี!L172+ชัยนาท!L172+ตราด!L172+นครนายก!L172+นครปฐม!L172+ปทุมธานี!L172+ประจวบคีรีขันธ์!L172+ปราจีนบุรี!L172+พระนครศรีอยุธยา!L172+เพชรบุรี!L172+ระยอง!L172+ราชบุรี!L172+ลพบุรี!L172+สระแก้ว!L172+สระบุรี!L172+สิงห์บุรี!L172+สุพรรณบุรี!L172+อ่างทอง!L172</f>
        <v>0</v>
      </c>
      <c r="M172" s="53">
        <f>กาญจนบุรี!M172+จันทบุรี!M172+ฉะเชิงเทรา!M172+ชลบุรี!M172+ชัยนาท!M172+ตราด!M172+นครนายก!M172+นครปฐม!M172+ปทุมธานี!M172+ประจวบคีรีขันธ์!M172+ปราจีนบุรี!M172+พระนครศรีอยุธยา!M172+เพชรบุรี!M172+ระยอง!M172+ราชบุรี!M172+ลพบุรี!M172+สระแก้ว!M172+สระบุรี!M172+สิงห์บุรี!M172+สุพรรณบุรี!M172+อ่างทอง!M172</f>
        <v>0</v>
      </c>
      <c r="N172" s="52">
        <f t="shared" ca="1" si="17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47"/>
      <c r="K173" s="48"/>
      <c r="L173" s="52">
        <f ca="1">กาญจนบุรี!L173+จันทบุรี!L173+ฉะเชิงเทรา!L173+ชลบุรี!L173+ชัยนาท!L173+ตราด!L173+นครนายก!L173+นครปฐม!L173+ปทุมธานี!L173+ประจวบคีรีขันธ์!L173+ปราจีนบุรี!L173+พระนครศรีอยุธยา!L173+เพชรบุรี!L173+ระยอง!L173+ราชบุรี!L173+ลพบุรี!L173+สระแก้ว!L173+สระบุรี!L173+สิงห์บุรี!L173+สุพรรณบุรี!L173+อ่างทอง!L173</f>
        <v>1135900</v>
      </c>
      <c r="M173" s="53">
        <f>กาญจนบุรี!M173+จันทบุรี!M173+ฉะเชิงเทรา!M173+ชลบุรี!M173+ชัยนาท!M173+ตราด!M173+นครนายก!M173+นครปฐม!M173+ปทุมธานี!M173+ประจวบคีรีขันธ์!M173+ปราจีนบุรี!M173+พระนครศรีอยุธยา!M173+เพชรบุรี!M173+ระยอง!M173+ราชบุรี!M173+ลพบุรี!M173+สระแก้ว!M173+สระบุรี!M173+สิงห์บุรี!M173+สุพรรณบุรี!M173+อ่างทอง!M173</f>
        <v>0</v>
      </c>
      <c r="N173" s="52">
        <f t="shared" ca="1" si="17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f>กาญจนบุรี!J175+จันทบุรี!J175+ฉะเชิงเทรา!J175+ชลบุรี!J175+ชัยนาท!J175+ตราด!J175+นครนายก!J175+นครปฐม!J175+ปทุมธานี!J175+ประจวบคีรีขันธ์!J175+ปราจีนบุรี!J175+พระนครศรีอยุธยา!J175+เพชรบุรี!J175+ระยอง!J175+ราชบุรี!J175+ลพบุรี!J175+สระแก้ว!J175+สระบุรี!J175+สิงห์บุรี!J175+สุพรรณบุรี!J175+อ่างทอง!J175</f>
        <v>4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f>กาญจนบุรี!J176+จันทบุรี!J176+ฉะเชิงเทรา!J176+ชลบุรี!J176+ชัยนาท!J176+ตราด!J176+นครนายก!J176+นครปฐม!J176+ปทุมธานี!J176+ประจวบคีรีขันธ์!J176+ปราจีนบุรี!J176+พระนครศรีอยุธยา!J176+เพชรบุรี!J176+ระยอง!J176+ราชบุรี!J176+ลพบุรี!J176+สระแก้ว!J176+สระบุรี!J176+สิงห์บุรี!J176+สุพรรณบุรี!J176+อ่างทอง!J176</f>
        <v>1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f>กาญจนบุรี!J177+จันทบุรี!J177+ฉะเชิงเทรา!J177+ชลบุรี!J177+ชัยนาท!J177+ตราด!J177+นครนายก!J177+นครปฐม!J177+ปทุมธานี!J177+ประจวบคีรีขันธ์!J177+ปราจีนบุรี!J177+พระนครศรีอยุธยา!J177+เพชรบุรี!J177+ระยอง!J177+ราชบุรี!J177+ลพบุรี!J177+สระแก้ว!J177+สระบุรี!J177+สิงห์บุรี!J177+สุพรรณบุรี!J177+อ่างทอง!J177</f>
        <v>2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f>กาญจนบุรี!J178+จันทบุรี!J178+ฉะเชิงเทรา!J178+ชลบุรี!J178+ชัยนาท!J178+ตราด!J178+นครนายก!J178+นครปฐม!J178+ปทุมธานี!J178+ประจวบคีรีขันธ์!J178+ปราจีนบุรี!J178+พระนครศรีอยุธยา!J178+เพชรบุรี!J178+ระยอง!J178+ราชบุรี!J178+ลพบุรี!J178+สระแก้ว!J178+สระบุรี!J178+สิงห์บุรี!J178+สุพรรณบุรี!J178+อ่างทอง!J178</f>
        <v>2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กาญจนบุรี!I179+จันทบุรี!I179+ฉะเชิงเทรา!I179+ชลบุรี!I179+ชัยนาท!I179+ตราด!I179+นครนายก!I179+นครปฐม!I179+ปทุมธานี!I179+ประจวบคีรีขันธ์!I179+ปราจีนบุรี!I179+พระนครศรีอยุธยา!I179+เพชรบุรี!I179+ระยอง!I179+ราชบุรี!I179+ลพบุรี!I179+สระแก้ว!I179+สระบุรี!I179+สิงห์บุรี!I179+สุพรรณบุรี!I179+อ่างทอง!I179</f>
        <v>9</v>
      </c>
      <c r="J179" s="67">
        <f>กาญจนบุรี!J179+จันทบุรี!J179+ฉะเชิงเทรา!J179+ชลบุรี!J179+ชัยนาท!J179+ตราด!J179+นครนายก!J179+นครปฐม!J179+ปทุมธานี!J179+ประจวบคีรีขันธ์!J179+ปราจีนบุรี!J179+พระนครศรีอยุธยา!J179+เพชรบุรี!J179+ระยอง!J179+ราชบุรี!J179+ลพบุรี!J179+สระแก้ว!J179+สระบุรี!J179+สิงห์บุรี!J179+สุพรรณบุรี!J179+อ่างทอง!J179</f>
        <v>0</v>
      </c>
      <c r="K179" s="48">
        <f t="shared" ref="K179:K182" ca="1" si="18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กาญจนบุรี!I180+จันทบุรี!I180+ฉะเชิงเทรา!I180+ชลบุรี!I180+ชัยนาท!I180+ตราด!I180+นครนายก!I180+นครปฐม!I180+ปทุมธานี!I180+ประจวบคีรีขันธ์!I180+ปราจีนบุรี!I180+พระนครศรีอยุธยา!I180+เพชรบุรี!I180+ระยอง!I180+ราชบุรี!I180+ลพบุรี!I180+สระแก้ว!I180+สระบุรี!I180+สิงห์บุรี!I180+สุพรรณบุรี!I180+อ่างทอง!I180</f>
        <v>195</v>
      </c>
      <c r="J180" s="67">
        <f>กาญจนบุรี!J180+จันทบุรี!J180+ฉะเชิงเทรา!J180+ชลบุรี!J180+ชัยนาท!J180+ตราด!J180+นครนายก!J180+นครปฐม!J180+ปทุมธานี!J180+ประจวบคีรีขันธ์!J180+ปราจีนบุรี!J180+พระนครศรีอยุธยา!J180+เพชรบุรี!J180+ระยอง!J180+ราชบุรี!J180+ลพบุรี!J180+สระแก้ว!J180+สระบุรี!J180+สิงห์บุรี!J180+สุพรรณบุรี!J180+อ่างทอง!J180</f>
        <v>0</v>
      </c>
      <c r="K180" s="48">
        <f t="shared" ca="1" si="18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กาญจนบุรี!I181+จันทบุรี!I181+ฉะเชิงเทรา!I181+ชลบุรี!I181+ชัยนาท!I181+ตราด!I181+นครนายก!I181+นครปฐม!I181+ปทุมธานี!I181+ประจวบคีรีขันธ์!I181+ปราจีนบุรี!I181+พระนครศรีอยุธยา!I181+เพชรบุรี!I181+ระยอง!I181+ราชบุรี!I181+ลพบุรี!I181+สระแก้ว!I181+สระบุรี!I181+สิงห์บุรี!I181+สุพรรณบุรี!I181+อ่างทอง!I181</f>
        <v>195</v>
      </c>
      <c r="J181" s="67">
        <f>กาญจนบุรี!J181+จันทบุรี!J181+ฉะเชิงเทรา!J181+ชลบุรี!J181+ชัยนาท!J181+ตราด!J181+นครนายก!J181+นครปฐม!J181+ปทุมธานี!J181+ประจวบคีรีขันธ์!J181+ปราจีนบุรี!J181+พระนครศรีอยุธยา!J181+เพชรบุรี!J181+ระยอง!J181+ราชบุรี!J181+ลพบุรี!J181+สระแก้ว!J181+สระบุรี!J181+สิงห์บุรี!J181+สุพรรณบุรี!J181+อ่างทอง!J181</f>
        <v>0</v>
      </c>
      <c r="K181" s="48">
        <f t="shared" ca="1" si="18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47">
        <f ca="1">กาญจนบุรี!I182+จันทบุรี!I182+ฉะเชิงเทรา!I182+ชลบุรี!I182+ชัยนาท!I182+ตราด!I182+นครนายก!I182+นครปฐม!I182+ปทุมธานี!I182+ประจวบคีรีขันธ์!I182+ปราจีนบุรี!I182+พระนครศรีอยุธยา!I182+เพชรบุรี!I182+ระยอง!I182+ราชบุรี!I182+ลพบุรี!I182+สระแก้ว!I182+สระบุรี!I182+สิงห์บุรี!I182+สุพรรณบุรี!I182+อ่างทอง!I182</f>
        <v>9</v>
      </c>
      <c r="J182" s="67">
        <f>กาญจนบุรี!J182+จันทบุรี!J182+ฉะเชิงเทรา!J182+ชลบุรี!J182+ชัยนาท!J182+ตราด!J182+นครนายก!J182+นครปฐม!J182+ปทุมธานี!J182+ประจวบคีรีขันธ์!J182+ปราจีนบุรี!J182+พระนครศรีอยุธยา!J182+เพชรบุรี!J182+ระยอง!J182+ราชบุรี!J182+ลพบุรี!J182+สระแก้ว!J182+สระบุรี!J182+สิงห์บุรี!J182+สุพรรณบุรี!J182+อ่างทอง!J182</f>
        <v>0</v>
      </c>
      <c r="K182" s="48">
        <f t="shared" ca="1" si="18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f>กาญจนบุรี!J183+จันทบุรี!J183+ฉะเชิงเทรา!J183+ชลบุรี!J183+ชัยนาท!J183+ตราด!J183+นครนายก!J183+นครปฐม!J183+ปทุมธานี!J183+ประจวบคีรีขันธ์!J183+ปราจีนบุรี!J183+พระนครศรีอยุธยา!J183+เพชรบุรี!J183+ระยอง!J183+ราชบุรี!J183+ลพบุรี!J183+สระแก้ว!J183+สระบุรี!J183+สิงห์บุรี!J183+สุพรรณบุรี!J183+อ่างทอง!J183</f>
        <v>0</v>
      </c>
      <c r="K183" s="48"/>
      <c r="L183" s="60"/>
      <c r="M183" s="60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112">
        <f>กาญจนบุรี!J184+จันทบุรี!J184+ฉะเชิงเทรา!J184+ชลบุรี!J184+ชัยนาท!J184+ตราด!J184+นครนายก!J184+นครปฐม!J184+ปทุมธานี!J184+ประจวบคีรีขันธ์!J184+ปราจีนบุรี!J184+พระนครศรีอยุธยา!J184+เพชรบุรี!J184+ระยอง!J184+ราชบุรี!J184+ลพบุรี!J184+สระแก้ว!J184+สระบุรี!J184+สิงห์บุรี!J184+สุพรรณบุรี!J184+อ่างทอง!J184</f>
        <v>0</v>
      </c>
      <c r="K184" s="113"/>
      <c r="L184" s="114"/>
      <c r="M184" s="114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กาญจนบุรี!I185+จันทบุรี!I185+ฉะเชิงเทรา!I185+ชลบุรี!I185+ชัยนาท!I185+ตราด!I185+นครนายก!I185+นครปฐม!I185+ปทุมธานี!I185+ประจวบคีรีขันธ์!I185+ปราจีนบุรี!I185+พระนครศรีอยุธยา!I185+เพชรบุรี!I185+ระยอง!I185+ราชบุรี!I185+ลพบุรี!I185+สระแก้ว!I185+สระบุรี!I185+สิงห์บุรี!I185+สุพรรณบุรี!I185+อ่างทอง!I185</f>
        <v>205</v>
      </c>
      <c r="J185" s="177">
        <f>กาญจนบุรี!J185+จันทบุรี!J185+ฉะเชิงเทรา!J185+ชลบุรี!J185+ชัยนาท!J185+ตราด!J185+นครนายก!J185+นครปฐม!J185+ปทุมธานี!J185+ประจวบคีรีขันธ์!J185+ปราจีนบุรี!J185+พระนครศรีอยุธยา!J185+เพชรบุรี!J185+ระยอง!J185+ราชบุรี!J185+ลพบุรี!J185+สระแก้ว!J185+สระบุรี!J185+สิงห์บุรี!J185+สุพรรณบุรี!J185+อ่างทอง!J185</f>
        <v>0</v>
      </c>
      <c r="K185" s="178">
        <f ca="1">IF(I185&gt;0,J185*100/I185,0)</f>
        <v>0</v>
      </c>
      <c r="L185" s="179">
        <f ca="1">กาญจนบุรี!L185+จันทบุรี!L185+ฉะเชิงเทรา!L185+ชลบุรี!L185+ชัยนาท!L185+ตราด!L185+นครนายก!L185+นครปฐม!L185+ปทุมธานี!L185+ประจวบคีรีขันธ์!L185+ปราจีนบุรี!L185+พระนครศรีอยุธยา!L185+เพชรบุรี!L185+ระยอง!L185+ราชบุรี!L185+ลพบุรี!L185+สระแก้ว!L185+สระบุรี!L185+สิงห์บุรี!L185+สุพรรณบุรี!L185+อ่างทอง!L185</f>
        <v>1266900</v>
      </c>
      <c r="M185" s="179">
        <f>กาญจนบุรี!M185+จันทบุรี!M185+ฉะเชิงเทรา!M185+ชลบุรี!M185+ชัยนาท!M185+ตราด!M185+นครนายก!M185+นครปฐม!M185+ปทุมธานี!M185+ประจวบคีรีขันธ์!M185+ปราจีนบุรี!M185+พระนครศรีอยุธยา!M185+เพชรบุรี!M185+ระยอง!M185+ราชบุรี!M185+ลพบุรี!M185+สระแก้ว!M185+สระบุรี!M185+สิงห์บุรี!M185+สุพรรณบุรี!M185+อ่างทอง!M185</f>
        <v>10500</v>
      </c>
      <c r="N185" s="178">
        <f ca="1">IF(L185&gt;0,M185*100/L185,0)</f>
        <v>0.82879469571394748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f>กาญจนบุรี!L186+จันทบุรี!L186+ฉะเชิงเทรา!L186+ชลบุรี!L186+ชัยนาท!L186+ตราด!L186+นครนายก!L186+นครปฐม!L186+ปทุมธานี!L186+ประจวบคีรีขันธ์!L186+ปราจีนบุรี!L186+พระนครศรีอยุธยา!L186+เพชรบุรี!L186+ระยอง!L186+ราชบุรี!L186+ลพบุรี!L186+สระแก้ว!L186+สระบุรี!L186+สิงห์บุรี!L186+สุพรรณบุรี!L186+อ่างทอง!L186</f>
        <v>0</v>
      </c>
      <c r="M186" s="49">
        <f>กาญจนบุรี!M186+จันทบุรี!M186+ฉะเชิงเทรา!M186+ชลบุรี!M186+ชัยนาท!M186+ตราด!M186+นครนายก!M186+นครปฐม!M186+ปทุมธานี!M186+ประจวบคีรีขันธ์!M186+ปราจีนบุรี!M186+พระนครศรีอยุธยา!M186+เพชรบุรี!M186+ระยอง!M186+ราชบุรี!M186+ลพบุรี!M186+สระแก้ว!M186+สระบุรี!M186+สิงห์บุรี!M186+สุพรรณบุรี!M186+อ่างทอง!M186</f>
        <v>0</v>
      </c>
      <c r="N186" s="49">
        <f t="shared" ref="N186:N189" si="19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ca="1">กาญจนบุรี!L187+จันทบุรี!L187+ฉะเชิงเทรา!L187+ชลบุรี!L187+ชัยนาท!L187+ตราด!L187+นครนายก!L187+นครปฐม!L187+ปทุมธานี!L187+ประจวบคีรีขันธ์!L187+ปราจีนบุรี!L187+พระนครศรีอยุธยา!L187+เพชรบุรี!L187+ระยอง!L187+ราชบุรี!L187+ลพบุรี!L187+สระแก้ว!L187+สระบุรี!L187+สิงห์บุรี!L187+สุพรรณบุรี!L187+อ่างทอง!L187</f>
        <v>1266900</v>
      </c>
      <c r="M187" s="49">
        <f>กาญจนบุรี!M187+จันทบุรี!M187+ฉะเชิงเทรา!M187+ชลบุรี!M187+ชัยนาท!M187+ตราด!M187+นครนายก!M187+นครปฐม!M187+ปทุมธานี!M187+ประจวบคีรีขันธ์!M187+ปราจีนบุรี!M187+พระนครศรีอยุธยา!M187+เพชรบุรี!M187+ระยอง!M187+ราชบุรี!M187+ลพบุรี!M187+สระแก้ว!M187+สระบุรี!M187+สิงห์บุรี!M187+สุพรรณบุรี!M187+อ่างทอง!M187</f>
        <v>10500</v>
      </c>
      <c r="N187" s="49">
        <f t="shared" ca="1" si="19"/>
        <v>0.82879469571394748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กาญจนบุรี!L188+จันทบุรี!L188+ฉะเชิงเทรา!L188+ชลบุรี!L188+ชัยนาท!L188+ตราด!L188+นครนายก!L188+นครปฐม!L188+ปทุมธานี!L188+ประจวบคีรีขันธ์!L188+ปราจีนบุรี!L188+พระนครศรีอยุธยา!L188+เพชรบุรี!L188+ระยอง!L188+ราชบุรี!L188+ลพบุรี!L188+สระแก้ว!L188+สระบุรี!L188+สิงห์บุรี!L188+สุพรรณบุรี!L188+อ่างทอง!L188</f>
        <v>132000</v>
      </c>
      <c r="M188" s="53">
        <f>กาญจนบุรี!M188+จันทบุรี!M188+ฉะเชิงเทรา!M188+ชลบุรี!M188+ชัยนาท!M188+ตราด!M188+นครนายก!M188+นครปฐม!M188+ปทุมธานี!M188+ประจวบคีรีขันธ์!M188+ปราจีนบุรี!M188+พระนครศรีอยุธยา!M188+เพชรบุรี!M188+ระยอง!M188+ราชบุรี!M188+ลพบุรี!M188+สระแก้ว!M188+สระบุรี!M188+สิงห์บุรี!M188+สุพรรณบุรี!M188+อ่างทอง!M188</f>
        <v>10500</v>
      </c>
      <c r="N188" s="52">
        <f t="shared" ca="1" si="19"/>
        <v>7.9545454545454541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กาญจนบุรี!L189+จันทบุรี!L189+ฉะเชิงเทรา!L189+ชลบุรี!L189+ชัยนาท!L189+ตราด!L189+นครนายก!L189+นครปฐม!L189+ปทุมธานี!L189+ประจวบคีรีขันธ์!L189+ปราจีนบุรี!L189+พระนครศรีอยุธยา!L189+เพชรบุรี!L189+ระยอง!L189+ราชบุรี!L189+ลพบุรี!L189+สระแก้ว!L189+สระบุรี!L189+สิงห์บุรี!L189+สุพรรณบุรี!L189+อ่างทอง!L189</f>
        <v>1134900</v>
      </c>
      <c r="M189" s="53">
        <f>กาญจนบุรี!M189+จันทบุรี!M189+ฉะเชิงเทรา!M189+ชลบุรี!M189+ชัยนาท!M189+ตราด!M189+นครนายก!M189+นครปฐม!M189+ปทุมธานี!M189+ประจวบคีรีขันธ์!M189+ปราจีนบุรี!M189+พระนครศรีอยุธยา!M189+เพชรบุรี!M189+ระยอง!M189+ราชบุรี!M189+ลพบุรี!M189+สระแก้ว!M189+สระบุรี!M189+สิงห์บุรี!M189+สุพรรณบุรี!M189+อ่างทอง!M189</f>
        <v>0</v>
      </c>
      <c r="N189" s="52">
        <f t="shared" ca="1" si="19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f>กาญจนบุรี!J191+จันทบุรี!J191+ฉะเชิงเทรา!J191+ชลบุรี!J191+ชัยนาท!J191+ตราด!J191+นครนายก!J191+นครปฐม!J191+ปทุมธานี!J191+ประจวบคีรีขันธ์!J191+ปราจีนบุรี!J191+พระนครศรีอยุธยา!J191+เพชรบุรี!J191+ระยอง!J191+ราชบุรี!J191+ลพบุรี!J191+สระแก้ว!J191+สระบุรี!J191+สิงห์บุรี!J191+สุพรรณบุรี!J191+อ่างทอง!J191</f>
        <v>6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f>กาญจนบุรี!J192+จันทบุรี!J192+ฉะเชิงเทรา!J192+ชลบุรี!J192+ชัยนาท!J192+ตราด!J192+นครนายก!J192+นครปฐม!J192+ปทุมธานี!J192+ประจวบคีรีขันธ์!J192+ปราจีนบุรี!J192+พระนครศรีอยุธยา!J192+เพชรบุรี!J192+ระยอง!J192+ราชบุรี!J192+ลพบุรี!J192+สระแก้ว!J192+สระบุรี!J192+สิงห์บุรี!J192+สุพรรณบุรี!J192+อ่างทอง!J192</f>
        <v>2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f>กาญจนบุรี!J193+จันทบุรี!J193+ฉะเชิงเทรา!J193+ชลบุรี!J193+ชัยนาท!J193+ตราด!J193+นครนายก!J193+นครปฐม!J193+ปทุมธานี!J193+ประจวบคีรีขันธ์!J193+ปราจีนบุรี!J193+พระนครศรีอยุธยา!J193+เพชรบุรี!J193+ระยอง!J193+ราชบุรี!J193+ลพบุรี!J193+สระแก้ว!J193+สระบุรี!J193+สิงห์บุรี!J193+สุพรรณบุรี!J193+อ่างทอง!J193</f>
        <v>3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f>กาญจนบุรี!J194+จันทบุรี!J194+ฉะเชิงเทรา!J194+ชลบุรี!J194+ชัยนาท!J194+ตราด!J194+นครนายก!J194+นครปฐม!J194+ปทุมธานี!J194+ประจวบคีรีขันธ์!J194+ปราจีนบุรี!J194+พระนครศรีอยุธยา!J194+เพชรบุรี!J194+ระยอง!J194+ราชบุรี!J194+ลพบุรี!J194+สระแก้ว!J194+สระบุรี!J194+สิงห์บุรี!J194+สุพรรณบุรี!J194+อ่างทอง!J194</f>
        <v>2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กาญจนบุรี!I195+จันทบุรี!I195+ฉะเชิงเทรา!I195+ชลบุรี!I195+ชัยนาท!I195+ตราด!I195+นครนายก!I195+นครปฐม!I195+ปทุมธานี!I195+ประจวบคีรีขันธ์!I195+ปราจีนบุรี!I195+พระนครศรีอยุธยา!I195+เพชรบุรี!I195+ระยอง!I195+ราชบุรี!I195+ลพบุรี!I195+สระแก้ว!I195+สระบุรี!I195+สิงห์บุรี!I195+สุพรรณบุรี!I195+อ่างทอง!I195</f>
        <v>205</v>
      </c>
      <c r="J195" s="67">
        <f>กาญจนบุรี!J195+จันทบุรี!J195+ฉะเชิงเทรา!J195+ชลบุรี!J195+ชัยนาท!J195+ตราด!J195+นครนายก!J195+นครปฐม!J195+ปทุมธานี!J195+ประจวบคีรีขันธ์!J195+ปราจีนบุรี!J195+พระนครศรีอยุธยา!J195+เพชรบุรี!J195+ระยอง!J195+ราชบุรี!J195+ลพบุรี!J195+สระแก้ว!J195+สระบุรี!J195+สิงห์บุรี!J195+สุพรรณบุรี!J195+อ่างทอง!J195</f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f>กาญจนบุรี!J196+จันทบุรี!J196+ฉะเชิงเทรา!J196+ชลบุรี!J196+ชัยนาท!J196+ตราด!J196+นครนายก!J196+นครปฐม!J196+ปทุมธานี!J196+ประจวบคีรีขันธ์!J196+ปราจีนบุรี!J196+พระนครศรีอยุธยา!J196+เพชรบุรี!J196+ระยอง!J196+ราชบุรี!J196+ลพบุรี!J196+สระแก้ว!J196+สระบุรี!J196+สิงห์บุรี!J196+สุพรรณบุรี!J196+อ่างทอง!J196</f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f>กาญจนบุรี!J197+จันทบุรี!J197+ฉะเชิงเทรา!J197+ชลบุรี!J197+ชัยนาท!J197+ตราด!J197+นครนายก!J197+นครปฐม!J197+ปทุมธานี!J197+ประจวบคีรีขันธ์!J197+ปราจีนบุรี!J197+พระนครศรีอยุธยา!J197+เพชรบุรี!J197+ระยอง!J197+ราชบุรี!J197+ลพบุรี!J197+สระแก้ว!J197+สระบุรี!J197+สิงห์บุรี!J197+สุพรรณบุรี!J197+อ่างทอง!J197</f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ca="1">กาญจนบุรี!I199+จันทบุรี!I199+ฉะเชิงเทรา!I199+ชลบุรี!I199+ชัยนาท!I199+ตราด!I199+นครนายก!I199+นครปฐม!I199+ปทุมธานี!I199+ประจวบคีรีขันธ์!I199+ปราจีนบุรี!I199+พระนครศรีอยุธยา!I199+เพชรบุรี!I199+ระยอง!I199+ราชบุรี!I199+ลพบุรี!I199+สระแก้ว!I199+สระบุรี!I199+สิงห์บุรี!I199+สุพรรณบุรี!I199+อ่างทอง!I199</f>
        <v>100</v>
      </c>
      <c r="J199" s="177">
        <f>กาญจนบุรี!J199+จันทบุรี!J199+ฉะเชิงเทรา!J199+ชลบุรี!J199+ชัยนาท!J199+ตราด!J199+นครนายก!J199+นครปฐม!J199+ปทุมธานี!J199+ประจวบคีรีขันธ์!J199+ปราจีนบุรี!J199+พระนครศรีอยุธยา!J199+เพชรบุรี!J199+ระยอง!J199+ราชบุรี!J199+ลพบุรี!J199+สระแก้ว!J199+สระบุรี!J199+สิงห์บุรี!J199+สุพรรณบุรี!J199+อ่างทอง!J199</f>
        <v>0</v>
      </c>
      <c r="K199" s="178">
        <f ca="1">IF(I199&gt;0,J199*100/I199,0)</f>
        <v>0</v>
      </c>
      <c r="L199" s="179">
        <f ca="1">กาญจนบุรี!L199+จันทบุรี!L199+ฉะเชิงเทรา!L199+ชลบุรี!L199+ชัยนาท!L199+ตราด!L199+นครนายก!L199+นครปฐม!L199+ปทุมธานี!L199+ประจวบคีรีขันธ์!L199+ปราจีนบุรี!L199+พระนครศรีอยุธยา!L199+เพชรบุรี!L199+ระยอง!L199+ราชบุรี!L199+ลพบุรี!L199+สระแก้ว!L199+สระบุรี!L199+สิงห์บุรี!L199+สุพรรณบุรี!L199+อ่างทอง!L199</f>
        <v>315320</v>
      </c>
      <c r="M199" s="179">
        <f>กาญจนบุรี!M199+จันทบุรี!M199+ฉะเชิงเทรา!M199+ชลบุรี!M199+ชัยนาท!M199+ตราด!M199+นครนายก!M199+นครปฐม!M199+ปทุมธานี!M199+ประจวบคีรีขันธ์!M199+ปราจีนบุรี!M199+พระนครศรีอยุธยา!M199+เพชรบุรี!M199+ระยอง!M199+ราชบุรี!M199+ลพบุรี!M199+สระแก้ว!M199+สระบุรี!M199+สิงห์บุรี!M199+สุพรรณบุรี!M199+อ่างทอง!M199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f>กาญจนบุรี!L200+จันทบุรี!L200+ฉะเชิงเทรา!L200+ชลบุรี!L200+ชัยนาท!L200+ตราด!L200+นครนายก!L200+นครปฐม!L200+ปทุมธานี!L200+ประจวบคีรีขันธ์!L200+ปราจีนบุรี!L200+พระนครศรีอยุธยา!L200+เพชรบุรี!L200+ระยอง!L200+ราชบุรี!L200+ลพบุรี!L200+สระแก้ว!L200+สระบุรี!L200+สิงห์บุรี!L200+สุพรรณบุรี!L200+อ่างทอง!L200</f>
        <v>0</v>
      </c>
      <c r="M200" s="49">
        <f>กาญจนบุรี!M200+จันทบุรี!M200+ฉะเชิงเทรา!M200+ชลบุรี!M200+ชัยนาท!M200+ตราด!M200+นครนายก!M200+นครปฐม!M200+ปทุมธานี!M200+ประจวบคีรีขันธ์!M200+ปราจีนบุรี!M200+พระนครศรีอยุธยา!M200+เพชรบุรี!M200+ระยอง!M200+ราชบุรี!M200+ลพบุรี!M200+สระแก้ว!M200+สระบุรี!M200+สิงห์บุรี!M200+สุพรรณบุรี!M200+อ่างทอง!M200</f>
        <v>0</v>
      </c>
      <c r="N200" s="49">
        <f t="shared" ref="N200:N203" si="20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ca="1">กาญจนบุรี!L201+จันทบุรี!L201+ฉะเชิงเทรา!L201+ชลบุรี!L201+ชัยนาท!L201+ตราด!L201+นครนายก!L201+นครปฐม!L201+ปทุมธานี!L201+ประจวบคีรีขันธ์!L201+ปราจีนบุรี!L201+พระนครศรีอยุธยา!L201+เพชรบุรี!L201+ระยอง!L201+ราชบุรี!L201+ลพบุรี!L201+สระแก้ว!L201+สระบุรี!L201+สิงห์บุรี!L201+สุพรรณบุรี!L201+อ่างทอง!L201</f>
        <v>315320</v>
      </c>
      <c r="M201" s="49">
        <f>กาญจนบุรี!M201+จันทบุรี!M201+ฉะเชิงเทรา!M201+ชลบุรี!M201+ชัยนาท!M201+ตราด!M201+นครนายก!M201+นครปฐม!M201+ปทุมธานี!M201+ประจวบคีรีขันธ์!M201+ปราจีนบุรี!M201+พระนครศรีอยุธยา!M201+เพชรบุรี!M201+ระยอง!M201+ราชบุรี!M201+ลพบุรี!M201+สระแก้ว!M201+สระบุรี!M201+สิงห์บุรี!M201+สุพรรณบุรี!M201+อ่างทอง!M201</f>
        <v>0</v>
      </c>
      <c r="N201" s="49">
        <f t="shared" ca="1" si="20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f>กาญจนบุรี!L202+จันทบุรี!L202+ฉะเชิงเทรา!L202+ชลบุรี!L202+ชัยนาท!L202+ตราด!L202+นครนายก!L202+นครปฐม!L202+ปทุมธานี!L202+ประจวบคีรีขันธ์!L202+ปราจีนบุรี!L202+พระนครศรีอยุธยา!L202+เพชรบุรี!L202+ระยอง!L202+ราชบุรี!L202+ลพบุรี!L202+สระแก้ว!L202+สระบุรี!L202+สิงห์บุรี!L202+สุพรรณบุรี!L202+อ่างทอง!L202</f>
        <v>0</v>
      </c>
      <c r="M202" s="52">
        <f>กาญจนบุรี!M202+จันทบุรี!M202+ฉะเชิงเทรา!M202+ชลบุรี!M202+ชัยนาท!M202+ตราด!M202+นครนายก!M202+นครปฐม!M202+ปทุมธานี!M202+ประจวบคีรีขันธ์!M202+ปราจีนบุรี!M202+พระนครศรีอยุธยา!M202+เพชรบุรี!M202+ระยอง!M202+ราชบุรี!M202+ลพบุรี!M202+สระแก้ว!M202+สระบุรี!M202+สิงห์บุรี!M202+สุพรรณบุรี!M202+อ่างทอง!M202</f>
        <v>0</v>
      </c>
      <c r="N202" s="52">
        <f t="shared" si="20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47"/>
      <c r="K203" s="48"/>
      <c r="L203" s="52">
        <f ca="1">กาญจนบุรี!L203+จันทบุรี!L203+ฉะเชิงเทรา!L203+ชลบุรี!L203+ชัยนาท!L203+ตราด!L203+นครนายก!L203+นครปฐม!L203+ปทุมธานี!L203+ประจวบคีรีขันธ์!L203+ปราจีนบุรี!L203+พระนครศรีอยุธยา!L203+เพชรบุรี!L203+ระยอง!L203+ราชบุรี!L203+ลพบุรี!L203+สระแก้ว!L203+สระบุรี!L203+สิงห์บุรี!L203+สุพรรณบุรี!L203+อ่างทอง!L203</f>
        <v>315320</v>
      </c>
      <c r="M203" s="53">
        <f>กาญจนบุรี!M203+จันทบุรี!M203+ฉะเชิงเทรา!M203+ชลบุรี!M203+ชัยนาท!M203+ตราด!M203+นครนายก!M203+นครปฐม!M203+ปทุมธานี!M203+ประจวบคีรีขันธ์!M203+ปราจีนบุรี!M203+พระนครศรีอยุธยา!M203+เพชรบุรี!M203+ระยอง!M203+ราชบุรี!M203+ลพบุรี!M203+สระแก้ว!M203+สระบุรี!M203+สิงห์บุรี!M203+สุพรรณบุรี!M203+อ่างทอง!M203</f>
        <v>0</v>
      </c>
      <c r="N203" s="52">
        <f t="shared" ca="1" si="20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47"/>
      <c r="K204" s="48"/>
      <c r="L204" s="60"/>
      <c r="M204" s="60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7">
        <f>กาญจนบุรี!J205+จันทบุรี!J205+ฉะเชิงเทรา!J205+ชลบุรี!J205+ชัยนาท!J205+ตราด!J205+นครนายก!J205+นครปฐม!J205+ปทุมธานี!J205+ประจวบคีรีขันธ์!J205+ปราจีนบุรี!J205+พระนครศรีอยุธยา!J205+เพชรบุรี!J205+ระยอง!J205+ราชบุรี!J205+ลพบุรี!J205+สระแก้ว!J205+สระบุรี!J205+สิงห์บุรี!J205+สุพรรณบุรี!J205+อ่างทอง!J205</f>
        <v>2</v>
      </c>
      <c r="K205" s="48"/>
      <c r="L205" s="60"/>
      <c r="M205" s="60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7">
        <f>กาญจนบุรี!J206+จันทบุรี!J206+ฉะเชิงเทรา!J206+ชลบุรี!J206+ชัยนาท!J206+ตราด!J206+นครนายก!J206+นครปฐม!J206+ปทุมธานี!J206+ประจวบคีรีขันธ์!J206+ปราจีนบุรี!J206+พระนครศรีอยุธยา!J206+เพชรบุรี!J206+ระยอง!J206+ราชบุรี!J206+ลพบุรี!J206+สระแก้ว!J206+สระบุรี!J206+สิงห์บุรี!J206+สุพรรณบุรี!J206+อ่างทอง!J206</f>
        <v>0</v>
      </c>
      <c r="K206" s="48"/>
      <c r="L206" s="60" t="s">
        <v>21</v>
      </c>
      <c r="M206" s="60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7">
        <f>กาญจนบุรี!J207+จันทบุรี!J207+ฉะเชิงเทรา!J207+ชลบุรี!J207+ชัยนาท!J207+ตราด!J207+นครนายก!J207+นครปฐม!J207+ปทุมธานี!J207+ประจวบคีรีขันธ์!J207+ปราจีนบุรี!J207+พระนครศรีอยุธยา!J207+เพชรบุรี!J207+ระยอง!J207+ราชบุรี!J207+ลพบุรี!J207+สระแก้ว!J207+สระบุรี!J207+สิงห์บุรี!J207+สุพรรณบุรี!J207+อ่างทอง!J207</f>
        <v>0</v>
      </c>
      <c r="K207" s="48"/>
      <c r="L207" s="60"/>
      <c r="M207" s="60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7">
        <f>กาญจนบุรี!J208+จันทบุรี!J208+ฉะเชิงเทรา!J208+ชลบุรี!J208+ชัยนาท!J208+ตราด!J208+นครนายก!J208+นครปฐม!J208+ปทุมธานี!J208+ประจวบคีรีขันธ์!J208+ปราจีนบุรี!J208+พระนครศรีอยุธยา!J208+เพชรบุรี!J208+ระยอง!J208+ราชบุรี!J208+ลพบุรี!J208+สระแก้ว!J208+สระบุรี!J208+สิงห์บุรี!J208+สุพรรณบุรี!J208+อ่างทอง!J208</f>
        <v>0</v>
      </c>
      <c r="K208" s="48"/>
      <c r="L208" s="60"/>
      <c r="M208" s="60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กาญจนบุรี!I209+จันทบุรี!I209+ฉะเชิงเทรา!I209+ชลบุรี!I209+ชัยนาท!I209+ตราด!I209+นครนายก!I209+นครปฐม!I209+ปทุมธานี!I209+ประจวบคีรีขันธ์!I209+ปราจีนบุรี!I209+พระนครศรีอยุธยา!I209+เพชรบุรี!I209+ระยอง!I209+ราชบุรี!I209+ลพบุรี!I209+สระแก้ว!I209+สระบุรี!I209+สิงห์บุรี!I209+สุพรรณบุรี!I209+อ่างทอง!I209</f>
        <v>100</v>
      </c>
      <c r="J209" s="67">
        <f>กาญจนบุรี!J209+จันทบุรี!J209+ฉะเชิงเทรา!J209+ชลบุรี!J209+ชัยนาท!J209+ตราด!J209+นครนายก!J209+นครปฐม!J209+ปทุมธานี!J209+ประจวบคีรีขันธ์!J209+ปราจีนบุรี!J209+พระนครศรีอยุธยา!J209+เพชรบุรี!J209+ระยอง!J209+ราชบุรี!J209+ลพบุรี!J209+สระแก้ว!J209+สระบุรี!J209+สิงห์บุรี!J209+สุพรรณบุรี!J209+อ่างทอง!J209</f>
        <v>0</v>
      </c>
      <c r="K209" s="48">
        <f ca="1">IF(I209&gt;0,J209*100/I209,0)</f>
        <v>0</v>
      </c>
      <c r="L209" s="60"/>
      <c r="M209" s="60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48"/>
      <c r="L210" s="60"/>
      <c r="M210" s="60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กาญจนบุรี!I211+จันทบุรี!I211+ฉะเชิงเทรา!I211+ชลบุรี!I211+ชัยนาท!I211+ตราด!I211+นครนายก!I211+นครปฐม!I211+ปทุมธานี!I211+ประจวบคีรีขันธ์!I211+ปราจีนบุรี!I211+พระนครศรีอยุธยา!I211+เพชรบุรี!I211+ระยอง!I211+ราชบุรี!I211+ลพบุรี!I211+สระแก้ว!I211+สระบุรี!I211+สิงห์บุรี!I211+สุพรรณบุรี!I211+อ่างทอง!I211</f>
        <v>100</v>
      </c>
      <c r="J211" s="67">
        <f>กาญจนบุรี!J211+จันทบุรี!J211+ฉะเชิงเทรา!J211+ชลบุรี!J211+ชัยนาท!J211+ตราด!J211+นครนายก!J211+นครปฐม!J211+ปทุมธานี!J211+ประจวบคีรีขันธ์!J211+ปราจีนบุรี!J211+พระนครศรีอยุธยา!J211+เพชรบุรี!J211+ระยอง!J211+ราชบุรี!J211+ลพบุรี!J211+สระแก้ว!J211+สระบุรี!J211+สิงห์บุรี!J211+สุพรรณบุรี!J211+อ่างทอง!J211</f>
        <v>0</v>
      </c>
      <c r="K211" s="48">
        <f ca="1">IF(I211&gt;0,J211*100/I211,0)</f>
        <v>0</v>
      </c>
      <c r="L211" s="60"/>
      <c r="M211" s="60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7">
        <f>กาญจนบุรี!J212+จันทบุรี!J212+ฉะเชิงเทรา!J212+ชลบุรี!J212+ชัยนาท!J212+ตราด!J212+นครนายก!J212+นครปฐม!J212+ปทุมธานี!J212+ประจวบคีรีขันธ์!J212+ปราจีนบุรี!J212+พระนครศรีอยุธยา!J212+เพชรบุรี!J212+ระยอง!J212+ราชบุรี!J212+ลพบุรี!J212+สระแก้ว!J212+สระบุรี!J212+สิงห์บุรี!J212+สุพรรณบุรี!J212+อ่างทอง!J212</f>
        <v>0</v>
      </c>
      <c r="K212" s="48"/>
      <c r="L212" s="60"/>
      <c r="M212" s="60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187">
        <f>กาญจนบุรี!J213+จันทบุรี!J213+ฉะเชิงเทรา!J213+ชลบุรี!J213+ชัยนาท!J213+ตราด!J213+นครนายก!J213+นครปฐม!J213+ปทุมธานี!J213+ประจวบคีรีขันธ์!J213+ปราจีนบุรี!J213+พระนครศรีอยุธยา!J213+เพชรบุรี!J213+ระยอง!J213+ราชบุรี!J213+ลพบุรี!J213+สระแก้ว!J213+สระบุรี!J213+สิงห์บุรี!J213+สุพรรณบุรี!J213+อ่างทอง!J213</f>
        <v>0</v>
      </c>
      <c r="K213" s="48"/>
      <c r="L213" s="60"/>
      <c r="M213" s="60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ca="1">กาญจนบุรี!I214+จันทบุรี!I214+ฉะเชิงเทรา!I214+ชลบุรี!I214+ชัยนาท!I214+ตราด!I214+นครนายก!I214+นครปฐม!I214+ปทุมธานี!I214+ประจวบคีรีขันธ์!I214+ปราจีนบุรี!I214+พระนครศรีอยุธยา!I214+เพชรบุรี!I214+ระยอง!I214+ราชบุรี!I214+ลพบุรี!I214+สระแก้ว!I214+สระบุรี!I214+สิงห์บุรี!I214+สุพรรณบุรี!I214+อ่างทอง!I214</f>
        <v>15</v>
      </c>
      <c r="J214" s="194">
        <f>กาญจนบุรี!J214+จันทบุรี!J214+ฉะเชิงเทรา!J214+ชลบุรี!J214+ชัยนาท!J214+ตราด!J214+นครนายก!J214+นครปฐม!J214+ปทุมธานี!J214+ประจวบคีรีขันธ์!J214+ปราจีนบุรี!J214+พระนครศรีอยุธยา!J214+เพชรบุรี!J214+ระยอง!J214+ราชบุรี!J214+ลพบุรี!J214+สระแก้ว!J214+สระบุรี!J214+สิงห์บุรี!J214+สุพรรณบุรี!J214+อ่างทอง!J214</f>
        <v>0</v>
      </c>
      <c r="K214" s="195">
        <f ca="1">IF(I214&gt;0,J214*100/I214,0)</f>
        <v>0</v>
      </c>
      <c r="L214" s="196">
        <f ca="1">กาญจนบุรี!L214+จันทบุรี!L214+ฉะเชิงเทรา!L214+ชลบุรี!L214+ชัยนาท!L214+ตราด!L214+นครนายก!L214+นครปฐม!L214+ปทุมธานี!L214+ประจวบคีรีขันธ์!L214+ปราจีนบุรี!L214+พระนครศรีอยุธยา!L214+เพชรบุรี!L214+ระยอง!L214+ราชบุรี!L214+ลพบุรี!L214+สระแก้ว!L214+สระบุรี!L214+สิงห์บุรี!L214+สุพรรณบุรี!L214+อ่างทอง!L214</f>
        <v>1019800</v>
      </c>
      <c r="M214" s="196">
        <f>กาญจนบุรี!M214+จันทบุรี!M214+ฉะเชิงเทรา!M214+ชลบุรี!M214+ชัยนาท!M214+ตราด!M214+นครนายก!M214+นครปฐม!M214+ปทุมธานี!M214+ประจวบคีรีขันธ์!M214+ปราจีนบุรี!M214+พระนครศรีอยุธยา!M214+เพชรบุรี!M214+ระยอง!M214+ราชบุรี!M214+ลพบุรี!M214+สระแก้ว!M214+สระบุรี!M214+สิงห์บุรี!M214+สุพรรณบุรี!M214+อ่างทอง!M214</f>
        <v>27520</v>
      </c>
      <c r="N214" s="195">
        <f ca="1">IF(L214&gt;0,M214*100/L214,0)</f>
        <v>2.6985683467346537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f>กาญจนบุรี!L215+จันทบุรี!L215+ฉะเชิงเทรา!L215+ชลบุรี!L215+ชัยนาท!L215+ตราด!L215+นครนายก!L215+นครปฐม!L215+ปทุมธานี!L215+ประจวบคีรีขันธ์!L215+ปราจีนบุรี!L215+พระนครศรีอยุธยา!L215+เพชรบุรี!L215+ระยอง!L215+ราชบุรี!L215+ลพบุรี!L215+สระแก้ว!L215+สระบุรี!L215+สิงห์บุรี!L215+สุพรรณบุรี!L215+อ่างทอง!L215</f>
        <v>0</v>
      </c>
      <c r="M215" s="52">
        <f>กาญจนบุรี!M215+จันทบุรี!M215+ฉะเชิงเทรา!M215+ชลบุรี!M215+ชัยนาท!M215+ตราด!M215+นครนายก!M215+นครปฐม!M215+ปทุมธานี!M215+ประจวบคีรีขันธ์!M215+ปราจีนบุรี!M215+พระนครศรีอยุธยา!M215+เพชรบุรี!M215+ระยอง!M215+ราชบุรี!M215+ลพบุรี!M215+สระแก้ว!M215+สระบุรี!M215+สิงห์บุรี!M215+สุพรรณบุรี!M215+อ่างทอง!M215</f>
        <v>0</v>
      </c>
      <c r="N215" s="52">
        <f t="shared" ref="N215:N218" si="21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ca="1">กาญจนบุรี!L216+จันทบุรี!L216+ฉะเชิงเทรา!L216+ชลบุรี!L216+ชัยนาท!L216+ตราด!L216+นครนายก!L216+นครปฐม!L216+ปทุมธานี!L216+ประจวบคีรีขันธ์!L216+ปราจีนบุรี!L216+พระนครศรีอยุธยา!L216+เพชรบุรี!L216+ระยอง!L216+ราชบุรี!L216+ลพบุรี!L216+สระแก้ว!L216+สระบุรี!L216+สิงห์บุรี!L216+สุพรรณบุรี!L216+อ่างทอง!L216</f>
        <v>1019800</v>
      </c>
      <c r="M216" s="52">
        <f>กาญจนบุรี!M216+จันทบุรี!M216+ฉะเชิงเทรา!M216+ชลบุรี!M216+ชัยนาท!M216+ตราด!M216+นครนายก!M216+นครปฐม!M216+ปทุมธานี!M216+ประจวบคีรีขันธ์!M216+ปราจีนบุรี!M216+พระนครศรีอยุธยา!M216+เพชรบุรี!M216+ระยอง!M216+ราชบุรี!M216+ลพบุรี!M216+สระแก้ว!M216+สระบุรี!M216+สิงห์บุรี!M216+สุพรรณบุรี!M216+อ่างทอง!M216</f>
        <v>27520</v>
      </c>
      <c r="N216" s="52">
        <f t="shared" ca="1" si="21"/>
        <v>2.6985683467346537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f>กาญจนบุรี!L217+จันทบุรี!L217+ฉะเชิงเทรา!L217+ชลบุรี!L217+ชัยนาท!L217+ตราด!L217+นครนายก!L217+นครปฐม!L217+ปทุมธานี!L217+ประจวบคีรีขันธ์!L217+ปราจีนบุรี!L217+พระนครศรีอยุธยา!L217+เพชรบุรี!L217+ระยอง!L217+ราชบุรี!L217+ลพบุรี!L217+สระแก้ว!L217+สระบุรี!L217+สิงห์บุรี!L217+สุพรรณบุรี!L217+อ่างทอง!L217</f>
        <v>0</v>
      </c>
      <c r="M217" s="52">
        <f>กาญจนบุรี!M217+จันทบุรี!M217+ฉะเชิงเทรา!M217+ชลบุรี!M217+ชัยนาท!M217+ตราด!M217+นครนายก!M217+นครปฐม!M217+ปทุมธานี!M217+ประจวบคีรีขันธ์!M217+ปราจีนบุรี!M217+พระนครศรีอยุธยา!M217+เพชรบุรี!M217+ระยอง!M217+ราชบุรี!M217+ลพบุรี!M217+สระแก้ว!M217+สระบุรี!M217+สิงห์บุรี!M217+สุพรรณบุรี!M217+อ่างทอง!M217</f>
        <v>0</v>
      </c>
      <c r="N217" s="52">
        <f t="shared" si="21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47"/>
      <c r="K218" s="48"/>
      <c r="L218" s="52">
        <f ca="1">กาญจนบุรี!L218+จันทบุรี!L218+ฉะเชิงเทรา!L218+ชลบุรี!L218+ชัยนาท!L218+ตราด!L218+นครนายก!L218+นครปฐม!L218+ปทุมธานี!L218+ประจวบคีรีขันธ์!L218+ปราจีนบุรี!L218+พระนครศรีอยุธยา!L218+เพชรบุรี!L218+ระยอง!L218+ราชบุรี!L218+ลพบุรี!L218+สระแก้ว!L218+สระบุรี!L218+สิงห์บุรี!L218+สุพรรณบุรี!L218+อ่างทอง!L218</f>
        <v>1019800</v>
      </c>
      <c r="M218" s="53">
        <f>กาญจนบุรี!M218+จันทบุรี!M218+ฉะเชิงเทรา!M218+ชลบุรี!M218+ชัยนาท!M218+ตราด!M218+นครนายก!M218+นครปฐม!M218+ปทุมธานี!M218+ประจวบคีรีขันธ์!M218+ปราจีนบุรี!M218+พระนครศรีอยุธยา!M218+เพชรบุรี!M218+ระยอง!M218+ราชบุรี!M218+ลพบุรี!M218+สระแก้ว!M218+สระบุรี!M218+สิงห์บุรี!M218+สุพรรณบุรี!M218+อ่างทอง!M218</f>
        <v>27520</v>
      </c>
      <c r="N218" s="52">
        <f t="shared" ca="1" si="21"/>
        <v>2.6985683467346537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47"/>
      <c r="K219" s="48"/>
      <c r="L219" s="60"/>
      <c r="M219" s="60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7">
        <f>กาญจนบุรี!J220+จันทบุรี!J220+ฉะเชิงเทรา!J220+ชลบุรี!J220+ชัยนาท!J220+ตราด!J220+นครนายก!J220+นครปฐม!J220+ปทุมธานี!J220+ประจวบคีรีขันธ์!J220+ปราจีนบุรี!J220+พระนครศรีอยุธยา!J220+เพชรบุรี!J220+ระยอง!J220+ราชบุรี!J220+ลพบุรี!J220+สระแก้ว!J220+สระบุรี!J220+สิงห์บุรี!J220+สุพรรณบุรี!J220+อ่างทอง!J220</f>
        <v>2</v>
      </c>
      <c r="K220" s="48"/>
      <c r="L220" s="60"/>
      <c r="M220" s="60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7">
        <f>กาญจนบุรี!J221+จันทบุรี!J221+ฉะเชิงเทรา!J221+ชลบุรี!J221+ชัยนาท!J221+ตราด!J221+นครนายก!J221+นครปฐม!J221+ปทุมธานี!J221+ประจวบคีรีขันธ์!J221+ปราจีนบุรี!J221+พระนครศรีอยุธยา!J221+เพชรบุรี!J221+ระยอง!J221+ราชบุรี!J221+ลพบุรี!J221+สระแก้ว!J221+สระบุรี!J221+สิงห์บุรี!J221+สุพรรณบุรี!J221+อ่างทอง!J221</f>
        <v>0</v>
      </c>
      <c r="K221" s="48"/>
      <c r="L221" s="60" t="s">
        <v>21</v>
      </c>
      <c r="M221" s="60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7">
        <f>กาญจนบุรี!J222+จันทบุรี!J222+ฉะเชิงเทรา!J222+ชลบุรี!J222+ชัยนาท!J222+ตราด!J222+นครนายก!J222+นครปฐม!J222+ปทุมธานี!J222+ประจวบคีรีขันธ์!J222+ปราจีนบุรี!J222+พระนครศรีอยุธยา!J222+เพชรบุรี!J222+ระยอง!J222+ราชบุรี!J222+ลพบุรี!J222+สระแก้ว!J222+สระบุรี!J222+สิงห์บุรี!J222+สุพรรณบุรี!J222+อ่างทอง!J222</f>
        <v>0</v>
      </c>
      <c r="K222" s="48"/>
      <c r="L222" s="60"/>
      <c r="M222" s="60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7">
        <f>กาญจนบุรี!J223+จันทบุรี!J223+ฉะเชิงเทรา!J223+ชลบุรี!J223+ชัยนาท!J223+ตราด!J223+นครนายก!J223+นครปฐม!J223+ปทุมธานี!J223+ประจวบคีรีขันธ์!J223+ปราจีนบุรี!J223+พระนครศรีอยุธยา!J223+เพชรบุรี!J223+ระยอง!J223+ราชบุรี!J223+ลพบุรี!J223+สระแก้ว!J223+สระบุรี!J223+สิงห์บุรี!J223+สุพรรณบุรี!J223+อ่างทอง!J223</f>
        <v>0</v>
      </c>
      <c r="K223" s="48"/>
      <c r="L223" s="60"/>
      <c r="M223" s="60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กาญจนบุรี!I224+จันทบุรี!I224+ฉะเชิงเทรา!I224+ชลบุรี!I224+ชัยนาท!I224+ตราด!I224+นครนายก!I224+นครปฐม!I224+ปทุมธานี!I224+ประจวบคีรีขันธ์!I224+ปราจีนบุรี!I224+พระนครศรีอยุธยา!I224+เพชรบุรี!I224+ระยอง!I224+ราชบุรี!I224+ลพบุรี!I224+สระแก้ว!I224+สระบุรี!I224+สิงห์บุรี!I224+สุพรรณบุรี!I224+อ่างทอง!I224</f>
        <v>15</v>
      </c>
      <c r="J224" s="67">
        <f>กาญจนบุรี!J224+จันทบุรี!J224+ฉะเชิงเทรา!J224+ชลบุรี!J224+ชัยนาท!J224+ตราด!J224+นครนายก!J224+นครปฐม!J224+ปทุมธานี!J224+ประจวบคีรีขันธ์!J224+ปราจีนบุรี!J224+พระนครศรีอยุธยา!J224+เพชรบุรี!J224+ระยอง!J224+ราชบุรี!J224+ลพบุรี!J224+สระแก้ว!J224+สระบุรี!J224+สิงห์บุรี!J224+สุพรรณบุรี!J224+อ่างทอง!J224</f>
        <v>0</v>
      </c>
      <c r="K224" s="48">
        <f ca="1">IF(I224&gt;0,J224*100/I224,0)</f>
        <v>0</v>
      </c>
      <c r="L224" s="60"/>
      <c r="M224" s="60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7">
        <f>กาญจนบุรี!J225+จันทบุรี!J225+ฉะเชิงเทรา!J225+ชลบุรี!J225+ชัยนาท!J225+ตราด!J225+นครนายก!J225+นครปฐม!J225+ปทุมธานี!J225+ประจวบคีรีขันธ์!J225+ปราจีนบุรี!J225+พระนครศรีอยุธยา!J225+เพชรบุรี!J225+ระยอง!J225+ราชบุรี!J225+ลพบุรี!J225+สระแก้ว!J225+สระบุรี!J225+สิงห์บุรี!J225+สุพรรณบุรี!J225+อ่างทอง!J225</f>
        <v>0</v>
      </c>
      <c r="K225" s="48"/>
      <c r="L225" s="60"/>
      <c r="M225" s="60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84">
        <f>กาญจนบุรี!J226+จันทบุรี!J226+ฉะเชิงเทรา!J226+ชลบุรี!J226+ชัยนาท!J226+ตราด!J226+นครนายก!J226+นครปฐม!J226+ปทุมธานี!J226+ประจวบคีรีขันธ์!J226+ปราจีนบุรี!J226+พระนครศรีอยุธยา!J226+เพชรบุรี!J226+ระยอง!J226+ราชบุรี!J226+ลพบุรี!J226+สระแก้ว!J226+สระบุรี!J226+สิงห์บุรี!J226+สุพรรณบุรี!J226+อ่างทอง!J226</f>
        <v>0</v>
      </c>
      <c r="K226" s="48"/>
      <c r="L226" s="60"/>
      <c r="M226" s="60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กาญจนบุรี!I228+จันทบุรี!I228+ฉะเชิงเทรา!I228+ชลบุรี!I228+ชัยนาท!I228+ตราด!I228+นครนายก!I228+นครปฐม!I228+ปทุมธานี!I228+ประจวบคีรีขันธ์!I228+ปราจีนบุรี!I228+พระนครศรีอยุธยา!I228+เพชรบุรี!I228+ระยอง!I228+ราชบุรี!I228+ลพบุรี!I228+สระแก้ว!I228+สระบุรี!I228+สิงห์บุรี!I228+สุพรรณบุรี!I228+อ่างทอง!I228</f>
        <v>2742</v>
      </c>
      <c r="J228" s="197">
        <f ca="1">กาญจนบุรี!J228+จันทบุรี!J228+ฉะเชิงเทรา!J228+ชลบุรี!J228+ชัยนาท!J228+ตราด!J228+นครนายก!J228+นครปฐม!J228+ปทุมธานี!J228+ประจวบคีรีขันธ์!J228+ปราจีนบุรี!J228+พระนครศรีอยุธยา!J228+เพชรบุรี!J228+ระยอง!J228+ราชบุรี!J228+ลพบุรี!J228+สระแก้ว!J228+สระบุรี!J228+สิงห์บุรี!J228+สุพรรณบุรี!J228+อ่างทอง!J228</f>
        <v>143</v>
      </c>
      <c r="K228" s="178">
        <f ca="1">IF(I228&gt;0,J228*100/I228,0)</f>
        <v>5.2151714077315825</v>
      </c>
      <c r="L228" s="179">
        <f ca="1">กาญจนบุรี!L228+จันทบุรี!L228+ฉะเชิงเทรา!L228+ชลบุรี!L228+ชัยนาท!L228+ตราด!L228+นครนายก!L228+นครปฐม!L228+ปทุมธานี!L228+ประจวบคีรีขันธ์!L228+ปราจีนบุรี!L228+พระนครศรีอยุธยา!L228+เพชรบุรี!L228+ระยอง!L228+ราชบุรี!L228+ลพบุรี!L228+สระแก้ว!L228+สระบุรี!L228+สิงห์บุรี!L228+สุพรรณบุรี!L228+อ่างทอง!L228</f>
        <v>16165540</v>
      </c>
      <c r="M228" s="179">
        <f>กาญจนบุรี!M228+จันทบุรี!M228+ฉะเชิงเทรา!M228+ชลบุรี!M228+ชัยนาท!M228+ตราด!M228+นครนายก!M228+นครปฐม!M228+ปทุมธานี!M228+ประจวบคีรีขันธ์!M228+ปราจีนบุรี!M228+พระนครศรีอยุธยา!M228+เพชรบุรี!M228+ระยอง!M228+ราชบุรี!M228+ลพบุรี!M228+สระแก้ว!M228+สระบุรี!M228+สิงห์บุรี!M228+สุพรรณบุรี!M228+อ่างทอง!M228</f>
        <v>314798.38</v>
      </c>
      <c r="N228" s="178">
        <f ca="1">IF(L228&gt;0,M228*100/L228,0)</f>
        <v>1.9473421859090385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f>กาญจนบุรี!L229+จันทบุรี!L229+ฉะเชิงเทรา!L229+ชลบุรี!L229+ชัยนาท!L229+ตราด!L229+นครนายก!L229+นครปฐม!L229+ปทุมธานี!L229+ประจวบคีรีขันธ์!L229+ปราจีนบุรี!L229+พระนครศรีอยุธยา!L229+เพชรบุรี!L229+ระยอง!L229+ราชบุรี!L229+ลพบุรี!L229+สระแก้ว!L229+สระบุรี!L229+สิงห์บุรี!L229+สุพรรณบุรี!L229+อ่างทอง!L229</f>
        <v>0</v>
      </c>
      <c r="M229" s="52">
        <f>กาญจนบุรี!M229+จันทบุรี!M229+ฉะเชิงเทรา!M229+ชลบุรี!M229+ชัยนาท!M229+ตราด!M229+นครนายก!M229+นครปฐม!M229+ปทุมธานี!M229+ประจวบคีรีขันธ์!M229+ปราจีนบุรี!M229+พระนครศรีอยุธยา!M229+เพชรบุรี!M229+ระยอง!M229+ราชบุรี!M229+ลพบุรี!M229+สระแก้ว!M229+สระบุรี!M229+สิงห์บุรี!M229+สุพรรณบุรี!M229+อ่างทอง!M229</f>
        <v>0</v>
      </c>
      <c r="N229" s="52">
        <f t="shared" ref="N229:N232" si="22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ca="1">กาญจนบุรี!L230+จันทบุรี!L230+ฉะเชิงเทรา!L230+ชลบุรี!L230+ชัยนาท!L230+ตราด!L230+นครนายก!L230+นครปฐม!L230+ปทุมธานี!L230+ประจวบคีรีขันธ์!L230+ปราจีนบุรี!L230+พระนครศรีอยุธยา!L230+เพชรบุรี!L230+ระยอง!L230+ราชบุรี!L230+ลพบุรี!L230+สระแก้ว!L230+สระบุรี!L230+สิงห์บุรี!L230+สุพรรณบุรี!L230+อ่างทอง!L230</f>
        <v>16165540</v>
      </c>
      <c r="M230" s="52">
        <f>กาญจนบุรี!M230+จันทบุรี!M230+ฉะเชิงเทรา!M230+ชลบุรี!M230+ชัยนาท!M230+ตราด!M230+นครนายก!M230+นครปฐม!M230+ปทุมธานี!M230+ประจวบคีรีขันธ์!M230+ปราจีนบุรี!M230+พระนครศรีอยุธยา!M230+เพชรบุรี!M230+ระยอง!M230+ราชบุรี!M230+ลพบุรี!M230+สระแก้ว!M230+สระบุรี!M230+สิงห์บุรี!M230+สุพรรณบุรี!M230+อ่างทอง!M230</f>
        <v>314798.38</v>
      </c>
      <c r="N230" s="52">
        <f t="shared" ca="1" si="22"/>
        <v>1.9473421859090385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กาญจนบุรี!L231+จันทบุรี!L231+ฉะเชิงเทรา!L231+ชลบุรี!L231+ชัยนาท!L231+ตราด!L231+นครนายก!L231+นครปฐม!L231+ปทุมธานี!L231+ประจวบคีรีขันธ์!L231+ปราจีนบุรี!L231+พระนครศรีอยุธยา!L231+เพชรบุรี!L231+ระยอง!L231+ราชบุรี!L231+ลพบุรี!L231+สระแก้ว!L231+สระบุรี!L231+สิงห์บุรี!L231+สุพรรณบุรี!L231+อ่างทอง!L231</f>
        <v>9640300</v>
      </c>
      <c r="M231" s="53">
        <f>กาญจนบุรี!M231+จันทบุรี!M231+ฉะเชิงเทรา!M231+ชลบุรี!M231+ชัยนาท!M231+ตราด!M231+นครนายก!M231+นครปฐม!M231+ปทุมธานี!M231+ประจวบคีรีขันธ์!M231+ปราจีนบุรี!M231+พระนครศรีอยุธยา!M231+เพชรบุรี!M231+ระยอง!M231+ราชบุรี!M231+ลพบุรี!M231+สระแก้ว!M231+สระบุรี!M231+สิงห์บุรี!M231+สุพรรณบุรี!M231+อ่างทอง!M231</f>
        <v>200962.18000000002</v>
      </c>
      <c r="N231" s="52">
        <f t="shared" ca="1" si="22"/>
        <v>2.0846050434115124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กาญจนบุรี!L232+จันทบุรี!L232+ฉะเชิงเทรา!L232+ชลบุรี!L232+ชัยนาท!L232+ตราด!L232+นครนายก!L232+นครปฐม!L232+ปทุมธานี!L232+ประจวบคีรีขันธ์!L232+ปราจีนบุรี!L232+พระนครศรีอยุธยา!L232+เพชรบุรี!L232+ระยอง!L232+ราชบุรี!L232+ลพบุรี!L232+สระแก้ว!L232+สระบุรี!L232+สิงห์บุรี!L232+สุพรรณบุรี!L232+อ่างทอง!L232</f>
        <v>6525240</v>
      </c>
      <c r="M232" s="53">
        <f>กาญจนบุรี!M232+จันทบุรี!M232+ฉะเชิงเทรา!M232+ชลบุรี!M232+ชัยนาท!M232+ตราด!M232+นครนายก!M232+นครปฐม!M232+ปทุมธานี!M232+ประจวบคีรีขันธ์!M232+ปราจีนบุรี!M232+พระนครศรีอยุธยา!M232+เพชรบุรี!M232+ระยอง!M232+ราชบุรี!M232+ลพบุรี!M232+สระแก้ว!M232+สระบุรี!M232+สิงห์บุรี!M232+สุพรรณบุรี!M232+อ่างทอง!M232</f>
        <v>113836.2</v>
      </c>
      <c r="N232" s="52">
        <f t="shared" ca="1" si="22"/>
        <v>1.7445519245269139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199">
        <f>กาญจนบุรี!I234+จันทบุรี!I234+ฉะเชิงเทรา!I234+ชลบุรี!I234+ชัยนาท!I234+ตราด!I234+นครนายก!I234+นครปฐม!I234+ปทุมธานี!I234+ประจวบคีรีขันธ์!I234+ปราจีนบุรี!I234+พระนครศรีอยุธยา!I234+เพชรบุรี!I234+ระยอง!I234+ราชบุรี!I234+ลพบุรี!I234+สระแก้ว!I234+สระบุรี!I234+สิงห์บุรี!I234+สุพรรณบุรี!I234+อ่างทอง!I234</f>
        <v>0</v>
      </c>
      <c r="J234" s="66">
        <f ca="1">กาญจนบุรี!J234+จันทบุรี!J234+ฉะเชิงเทรา!J234+ชลบุรี!J234+ชัยนาท!J234+ตราด!J234+นครนายก!J234+นครปฐม!J234+ปทุมธานี!J234+ประจวบคีรีขันธ์!J234+ปราจีนบุรี!J234+พระนครศรีอยุธยา!J234+เพชรบุรี!J234+ระยอง!J234+ราชบุรี!J234+ลพบุรี!J234+สระแก้ว!J234+สระบุรี!J234+สิงห์บุรี!J234+สุพรรณบุรี!J234+อ่างทอง!J234</f>
        <v>201</v>
      </c>
      <c r="K234" s="200">
        <f t="shared" ref="K234:K241" si="23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199">
        <f ca="1">กาญจนบุรี!I235+จันทบุรี!I235+ฉะเชิงเทรา!I235+ชลบุรี!I235+ชัยนาท!I235+ตราด!I235+นครนายก!I235+นครปฐม!I235+ปทุมธานี!I235+ประจวบคีรีขันธ์!I235+ปราจีนบุรี!I235+พระนครศรีอยุธยา!I235+เพชรบุรี!I235+ระยอง!I235+ราชบุรี!I235+ลพบุรี!I235+สระแก้ว!I235+สระบุรี!I235+สิงห์บุรี!I235+สุพรรณบุรี!I235+อ่างทอง!I235</f>
        <v>31359</v>
      </c>
      <c r="J235" s="66">
        <f ca="1">กาญจนบุรี!J235+จันทบุรี!J235+ฉะเชิงเทรา!J235+ชลบุรี!J235+ชัยนาท!J235+ตราด!J235+นครนายก!J235+นครปฐม!J235+ปทุมธานี!J235+ประจวบคีรีขันธ์!J235+ปราจีนบุรี!J235+พระนครศรีอยุธยา!J235+เพชรบุรี!J235+ระยอง!J235+ราชบุรี!J235+ลพบุรี!J235+สระแก้ว!J235+สระบุรี!J235+สิงห์บุรี!J235+สุพรรณบุรี!J235+อ่างทอง!J235</f>
        <v>2168.2700000000004</v>
      </c>
      <c r="K235" s="200">
        <f t="shared" ca="1" si="23"/>
        <v>6.9143467585063316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199">
        <f ca="1">กาญจนบุรี!I236+จันทบุรี!I236+ฉะเชิงเทรา!I236+ชลบุรี!I236+ชัยนาท!I236+ตราด!I236+นครนายก!I236+นครปฐม!I236+ปทุมธานี!I236+ประจวบคีรีขันธ์!I236+ปราจีนบุรี!I236+พระนครศรีอยุธยา!I236+เพชรบุรี!I236+ระยอง!I236+ราชบุรี!I236+ลพบุรี!I236+สระแก้ว!I236+สระบุรี!I236+สิงห์บุรี!I236+สุพรรณบุรี!I236+อ่างทอง!I236</f>
        <v>2742</v>
      </c>
      <c r="J236" s="66">
        <f ca="1">กาญจนบุรี!J236+จันทบุรี!J236+ฉะเชิงเทรา!J236+ชลบุรี!J236+ชัยนาท!J236+ตราด!J236+นครนายก!J236+นครปฐม!J236+ปทุมธานี!J236+ประจวบคีรีขันธ์!J236+ปราจีนบุรี!J236+พระนครศรีอยุธยา!J236+เพชรบุรี!J236+ระยอง!J236+ราชบุรี!J236+ลพบุรี!J236+สระแก้ว!J236+สระบุรี!J236+สิงห์บุรี!J236+สุพรรณบุรี!J236+อ่างทอง!J236</f>
        <v>258</v>
      </c>
      <c r="K236" s="200">
        <f t="shared" ca="1" si="23"/>
        <v>9.4091903719912473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f>กาญจนบุรี!I237+จันทบุรี!I237+ฉะเชิงเทรา!I237+ชลบุรี!I237+ชัยนาท!I237+ตราด!I237+นครนายก!I237+นครปฐม!I237+ปทุมธานี!I237+ประจวบคีรีขันธ์!I237+ปราจีนบุรี!I237+พระนครศรีอยุธยา!I237+เพชรบุรี!I237+ระยอง!I237+ราชบุรี!I237+ลพบุรี!I237+สระแก้ว!I237+สระบุรี!I237+สิงห์บุรี!I237+สุพรรณบุรี!I237+อ่างทอง!I237</f>
        <v>0</v>
      </c>
      <c r="J237" s="66">
        <f ca="1">กาญจนบุรี!J237+จันทบุรี!J237+ฉะเชิงเทรา!J237+ชลบุรี!J237+ชัยนาท!J237+ตราด!J237+นครนายก!J237+นครปฐม!J237+ปทุมธานี!J237+ประจวบคีรีขันธ์!J237+ปราจีนบุรี!J237+พระนครศรีอยุธยา!J237+เพชรบุรี!J237+ระยอง!J237+ราชบุรี!J237+ลพบุรี!J237+สระแก้ว!J237+สระบุรี!J237+สิงห์บุรี!J237+สุพรรณบุรี!J237+อ่างทอง!J237</f>
        <v>3221.9500000000003</v>
      </c>
      <c r="K237" s="200">
        <f t="shared" si="23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199">
        <f ca="1">กาญจนบุรี!I238+จันทบุรี!I238+ฉะเชิงเทรา!I238+ชลบุรี!I238+ชัยนาท!I238+ตราด!I238+นครนายก!I238+นครปฐม!I238+ปทุมธานี!I238+ประจวบคีรีขันธ์!I238+ปราจีนบุรี!I238+พระนครศรีอยุธยา!I238+เพชรบุรี!I238+ระยอง!I238+ราชบุรี!I238+ลพบุรี!I238+สระแก้ว!I238+สระบุรี!I238+สิงห์บุรี!I238+สุพรรณบุรี!I238+อ่างทอง!I238</f>
        <v>2742</v>
      </c>
      <c r="J238" s="66">
        <f ca="1">กาญจนบุรี!J238+จันทบุรี!J238+ฉะเชิงเทรา!J238+ชลบุรี!J238+ชัยนาท!J238+ตราด!J238+นครนายก!J238+นครปฐม!J238+ปทุมธานี!J238+ประจวบคีรีขันธ์!J238+ปราจีนบุรี!J238+พระนครศรีอยุธยา!J238+เพชรบุรี!J238+ระยอง!J238+ราชบุรี!J238+ลพบุรี!J238+สระแก้ว!J238+สระบุรี!J238+สิงห์บุรี!J238+สุพรรณบุรี!J238+อ่างทอง!J238</f>
        <v>0</v>
      </c>
      <c r="K238" s="200">
        <f t="shared" ca="1" si="23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f>กาญจนบุรี!I239+จันทบุรี!I239+ฉะเชิงเทรา!I239+ชลบุรี!I239+ชัยนาท!I239+ตราด!I239+นครนายก!I239+นครปฐม!I239+ปทุมธานี!I239+ประจวบคีรีขันธ์!I239+ปราจีนบุรี!I239+พระนครศรีอยุธยา!I239+เพชรบุรี!I239+ระยอง!I239+ราชบุรี!I239+ลพบุรี!I239+สระแก้ว!I239+สระบุรี!I239+สิงห์บุรี!I239+สุพรรณบุรี!I239+อ่างทอง!I239</f>
        <v>0</v>
      </c>
      <c r="J239" s="66">
        <f ca="1">กาญจนบุรี!J239+จันทบุรี!J239+ฉะเชิงเทรา!J239+ชลบุรี!J239+ชัยนาท!J239+ตราด!J239+นครนายก!J239+นครปฐม!J239+ปทุมธานี!J239+ประจวบคีรีขันธ์!J239+ปราจีนบุรี!J239+พระนครศรีอยุธยา!J239+เพชรบุรี!J239+ระยอง!J239+ราชบุรี!J239+ลพบุรี!J239+สระแก้ว!J239+สระบุรี!J239+สิงห์บุรี!J239+สุพรรณบุรี!J239+อ่างทอง!J239</f>
        <v>0</v>
      </c>
      <c r="K239" s="200">
        <f t="shared" si="23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199">
        <f ca="1">กาญจนบุรี!I240+จันทบุรี!I240+ฉะเชิงเทรา!I240+ชลบุรี!I240+ชัยนาท!I240+ตราด!I240+นครนายก!I240+นครปฐม!I240+ปทุมธานี!I240+ประจวบคีรีขันธ์!I240+ปราจีนบุรี!I240+พระนครศรีอยุธยา!I240+เพชรบุรี!I240+ระยอง!I240+ราชบุรี!I240+ลพบุรี!I240+สระแก้ว!I240+สระบุรี!I240+สิงห์บุรี!I240+สุพรรณบุรี!I240+อ่างทอง!I240</f>
        <v>2742</v>
      </c>
      <c r="J240" s="66">
        <f ca="1">กาญจนบุรี!J240+จันทบุรี!J240+ฉะเชิงเทรา!J240+ชลบุรี!J240+ชัยนาท!J240+ตราด!J240+นครนายก!J240+นครปฐม!J240+ปทุมธานี!J240+ประจวบคีรีขันธ์!J240+ปราจีนบุรี!J240+พระนครศรีอยุธยา!J240+เพชรบุรี!J240+ระยอง!J240+ราชบุรี!J240+ลพบุรี!J240+สระแก้ว!J240+สระบุรี!J240+สิงห์บุรี!J240+สุพรรณบุรี!J240+อ่างทอง!J240</f>
        <v>143</v>
      </c>
      <c r="K240" s="200">
        <f t="shared" ca="1" si="23"/>
        <v>5.2151714077315825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f>กาญจนบุรี!I241+จันทบุรี!I241+ฉะเชิงเทรา!I241+ชลบุรี!I241+ชัยนาท!I241+ตราด!I241+นครนายก!I241+นครปฐม!I241+ปทุมธานี!I241+ประจวบคีรีขันธ์!I241+ปราจีนบุรี!I241+พระนครศรีอยุธยา!I241+เพชรบุรี!I241+ระยอง!I241+ราชบุรี!I241+ลพบุรี!I241+สระแก้ว!I241+สระบุรี!I241+สิงห์บุรี!I241+สุพรรณบุรี!I241+อ่างทอง!I241</f>
        <v>0</v>
      </c>
      <c r="J241" s="111">
        <f ca="1">กาญจนบุรี!J241+จันทบุรี!J241+ฉะเชิงเทรา!J241+ชลบุรี!J241+ชัยนาท!J241+ตราด!J241+นครนายก!J241+นครปฐม!J241+ปทุมธานี!J241+ประจวบคีรีขันธ์!J241+ปราจีนบุรี!J241+พระนครศรีอยุธยา!J241+เพชรบุรี!J241+ระยอง!J241+ราชบุรี!J241+ลพบุรี!J241+สระแก้ว!J241+สระบุรี!J241+สิงห์บุรี!J241+สุพรรณบุรี!J241+อ่างทอง!J241</f>
        <v>1690.4</v>
      </c>
      <c r="K241" s="200">
        <f t="shared" si="23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ca="1">กาญจนบุรี!L242+จันทบุรี!L242+ฉะเชิงเทรา!L242+ชลบุรี!L242+ชัยนาท!L242+ตราด!L242+นครนายก!L242+นครปฐม!L242+ปทุมธานี!L242+ประจวบคีรีขันธ์!L242+ปราจีนบุรี!L242+พระนครศรีอยุธยา!L242+เพชรบุรี!L242+ระยอง!L242+ราชบุรี!L242+ลพบุรี!L242+สระแก้ว!L242+สระบุรี!L242+สิงห์บุรี!L242+สุพรรณบุรี!L242+อ่างทอง!L242</f>
        <v>27130558</v>
      </c>
      <c r="M242" s="213">
        <f>กาญจนบุรี!M242+จันทบุรี!M242+ฉะเชิงเทรา!M242+ชลบุรี!M242+ชัยนาท!M242+ตราด!M242+นครนายก!M242+นครปฐม!M242+ปทุมธานี!M242+ประจวบคีรีขันธ์!M242+ปราจีนบุรี!M242+พระนครศรีอยุธยา!M242+เพชรบุรี!M242+ระยอง!M242+ราชบุรี!M242+ลพบุรี!M242+สระแก้ว!M242+สระบุรี!M242+สิงห์บุรี!M242+สุพรรณบุรี!M242+อ่างทอง!M242</f>
        <v>249650.04000000004</v>
      </c>
      <c r="N242" s="213">
        <f ca="1">+IF(L242&gt;0,M242*100/L242,0)</f>
        <v>0.92018026315566392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ca="1">กาญจนบุรี!I244+จันทบุรี!I244+ฉะเชิงเทรา!I244+ชลบุรี!I244+ชัยนาท!I244+ตราด!I244+นครนายก!I244+นครปฐม!I244+ปทุมธานี!I244+ประจวบคีรีขันธ์!I244+ปราจีนบุรี!I244+พระนครศรีอยุธยา!I244+เพชรบุรี!I244+ระยอง!I244+ราชบุรี!I244+ลพบุรี!I244+สระแก้ว!I244+สระบุรี!I244+สิงห์บุรี!I244+สุพรรณบุรี!I244+อ่างทอง!I244</f>
        <v>634</v>
      </c>
      <c r="J244" s="226">
        <f>กาญจนบุรี!J244+จันทบุรี!J244+ฉะเชิงเทรา!J244+ชลบุรี!J244+ชัยนาท!J244+ตราด!J244+นครนายก!J244+นครปฐม!J244+ปทุมธานี!J244+ประจวบคีรีขันธ์!J244+ปราจีนบุรี!J244+พระนครศรีอยุธยา!J244+เพชรบุรี!J244+ระยอง!J244+ราชบุรี!J244+ลพบุรี!J244+สระแก้ว!J244+สระบุรี!J244+สิงห์บุรี!J244+สุพรรณบุรี!J244+อ่างทอง!J244</f>
        <v>0</v>
      </c>
      <c r="K244" s="227">
        <f t="shared" ref="K244:K245" ca="1" si="24">IF(I244&gt;0,J244*100/I244,0)</f>
        <v>0</v>
      </c>
      <c r="L244" s="228">
        <f ca="1">กาญจนบุรี!L244+จันทบุรี!L244+ฉะเชิงเทรา!L244+ชลบุรี!L244+ชัยนาท!L244+ตราด!L244+นครนายก!L244+นครปฐม!L244+ปทุมธานี!L244+ประจวบคีรีขันธ์!L244+ปราจีนบุรี!L244+พระนครศรีอยุธยา!L244+เพชรบุรี!L244+ระยอง!L244+ราชบุรี!L244+ลพบุรี!L244+สระแก้ว!L244+สระบุรี!L244+สิงห์บุรี!L244+สุพรรณบุรี!L244+อ่างทอง!L244</f>
        <v>2223740</v>
      </c>
      <c r="M244" s="228">
        <f>กาญจนบุรี!M244+จันทบุรี!M244+ฉะเชิงเทรา!M244+ชลบุรี!M244+ชัยนาท!M244+ตราด!M244+นครนายก!M244+นครปฐม!M244+ปทุมธานี!M244+ประจวบคีรีขันธ์!M244+ปราจีนบุรี!M244+พระนครศรีอยุธยา!M244+เพชรบุรี!M244+ระยอง!M244+ราชบุรี!M244+ลพบุรี!M244+สระแก้ว!M244+สระบุรี!M244+สิงห์บุรี!M244+สุพรรณบุรี!M244+อ่างทอง!M244</f>
        <v>32606</v>
      </c>
      <c r="N244" s="228">
        <f ca="1">+IF(L244&gt;0,M244*100/L244,0)</f>
        <v>1.4662685385881442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ca="1">กาญจนบุรี!I245+จันทบุรี!I245+ฉะเชิงเทรา!I245+ชลบุรี!I245+ชัยนาท!I245+ตราด!I245+นครนายก!I245+นครปฐม!I245+ปทุมธานี!I245+ประจวบคีรีขันธ์!I245+ปราจีนบุรี!I245+พระนครศรีอยุธยา!I245+เพชรบุรี!I245+ระยอง!I245+ราชบุรี!I245+ลพบุรี!I245+สระแก้ว!I245+สระบุรี!I245+สิงห์บุรี!I245+สุพรรณบุรี!I245+อ่างทอง!I245</f>
        <v>292</v>
      </c>
      <c r="J245" s="226">
        <f>กาญจนบุรี!J245+จันทบุรี!J245+ฉะเชิงเทรา!J245+ชลบุรี!J245+ชัยนาท!J245+ตราด!J245+นครนายก!J245+นครปฐม!J245+ปทุมธานี!J245+ประจวบคีรีขันธ์!J245+ปราจีนบุรี!J245+พระนครศรีอยุธยา!J245+เพชรบุรี!J245+ระยอง!J245+ราชบุรี!J245+ลพบุรี!J245+สระแก้ว!J245+สระบุรี!J245+สิงห์บุรี!J245+สุพรรณบุรี!J245+อ่างทอง!J245</f>
        <v>0</v>
      </c>
      <c r="K245" s="227">
        <f t="shared" ca="1" si="24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f>กาญจนบุรี!L246+จันทบุรี!L246+ฉะเชิงเทรา!L246+ชลบุรี!L246+ชัยนาท!L246+ตราด!L246+นครนายก!L246+นครปฐม!L246+ปทุมธานี!L246+ประจวบคีรีขันธ์!L246+ปราจีนบุรี!L246+พระนครศรีอยุธยา!L246+เพชรบุรี!L246+ระยอง!L246+ราชบุรี!L246+ลพบุรี!L246+สระแก้ว!L246+สระบุรี!L246+สิงห์บุรี!L246+สุพรรณบุรี!L246+อ่างทอง!L246</f>
        <v>0</v>
      </c>
      <c r="M246" s="49">
        <f>กาญจนบุรี!M246+จันทบุรี!M246+ฉะเชิงเทรา!M246+ชลบุรี!M246+ชัยนาท!M246+ตราด!M246+นครนายก!M246+นครปฐม!M246+ปทุมธานี!M246+ประจวบคีรีขันธ์!M246+ปราจีนบุรี!M246+พระนครศรีอยุธยา!M246+เพชรบุรี!M246+ระยอง!M246+ราชบุรี!M246+ลพบุรี!M246+สระแก้ว!M246+สระบุรี!M246+สิงห์บุรี!M246+สุพรรณบุรี!M246+อ่างทอง!M246</f>
        <v>0</v>
      </c>
      <c r="N246" s="49">
        <f t="shared" ref="N246:N249" si="25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ca="1">กาญจนบุรี!L247+จันทบุรี!L247+ฉะเชิงเทรา!L247+ชลบุรี!L247+ชัยนาท!L247+ตราด!L247+นครนายก!L247+นครปฐม!L247+ปทุมธานี!L247+ประจวบคีรีขันธ์!L247+ปราจีนบุรี!L247+พระนครศรีอยุธยา!L247+เพชรบุรี!L247+ระยอง!L247+ราชบุรี!L247+ลพบุรี!L247+สระแก้ว!L247+สระบุรี!L247+สิงห์บุรี!L247+สุพรรณบุรี!L247+อ่างทอง!L247</f>
        <v>2223740</v>
      </c>
      <c r="M247" s="49">
        <f>กาญจนบุรี!M247+จันทบุรี!M247+ฉะเชิงเทรา!M247+ชลบุรี!M247+ชัยนาท!M247+ตราด!M247+นครนายก!M247+นครปฐม!M247+ปทุมธานี!M247+ประจวบคีรีขันธ์!M247+ปราจีนบุรี!M247+พระนครศรีอยุธยา!M247+เพชรบุรี!M247+ระยอง!M247+ราชบุรี!M247+ลพบุรี!M247+สระแก้ว!M247+สระบุรี!M247+สิงห์บุรี!M247+สุพรรณบุรี!M247+อ่างทอง!M247</f>
        <v>32606</v>
      </c>
      <c r="N247" s="49">
        <f t="shared" ca="1" si="25"/>
        <v>1.4662685385881442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กาญจนบุรี!L248+จันทบุรี!L248+ฉะเชิงเทรา!L248+ชลบุรี!L248+ชัยนาท!L248+ตราด!L248+นครนายก!L248+นครปฐม!L248+ปทุมธานี!L248+ประจวบคีรีขันธ์!L248+ปราจีนบุรี!L248+พระนครศรีอยุธยา!L248+เพชรบุรี!L248+ระยอง!L248+ราชบุรี!L248+ลพบุรี!L248+สระแก้ว!L248+สระบุรี!L248+สิงห์บุรี!L248+สุพรรณบุรี!L248+อ่างทอง!L248</f>
        <v>0</v>
      </c>
      <c r="M248" s="52">
        <f>กาญจนบุรี!M248+จันทบุรี!M248+ฉะเชิงเทรา!M248+ชลบุรี!M248+ชัยนาท!M248+ตราด!M248+นครนายก!M248+นครปฐม!M248+ปทุมธานี!M248+ประจวบคีรีขันธ์!M248+ปราจีนบุรี!M248+พระนครศรีอยุธยา!M248+เพชรบุรี!M248+ระยอง!M248+ราชบุรี!M248+ลพบุรี!M248+สระแก้ว!M248+สระบุรี!M248+สิงห์บุรี!M248+สุพรรณบุรี!M248+อ่างทอง!M248</f>
        <v>0</v>
      </c>
      <c r="N248" s="52">
        <f t="shared" ca="1" si="25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กาญจนบุรี!L249+จันทบุรี!L249+ฉะเชิงเทรา!L249+ชลบุรี!L249+ชัยนาท!L249+ตราด!L249+นครนายก!L249+นครปฐม!L249+ปทุมธานี!L249+ประจวบคีรีขันธ์!L249+ปราจีนบุรี!L249+พระนครศรีอยุธยา!L249+เพชรบุรี!L249+ระยอง!L249+ราชบุรี!L249+ลพบุรี!L249+สระแก้ว!L249+สระบุรี!L249+สิงห์บุรี!L249+สุพรรณบุรี!L249+อ่างทอง!L249</f>
        <v>2223740</v>
      </c>
      <c r="M249" s="52">
        <f>กาญจนบุรี!M249+จันทบุรี!M249+ฉะเชิงเทรา!M249+ชลบุรี!M249+ชัยนาท!M249+ตราด!M249+นครนายก!M249+นครปฐม!M249+ปทุมธานี!M249+ประจวบคีรีขันธ์!M249+ปราจีนบุรี!M249+พระนครศรีอยุธยา!M249+เพชรบุรี!M249+ระยอง!M249+ราชบุรี!M249+ลพบุรี!M249+สระแก้ว!M249+สระบุรี!M249+สิงห์บุรี!M249+สุพรรณบุรี!M249+อ่างทอง!M249</f>
        <v>32606</v>
      </c>
      <c r="N249" s="52">
        <f t="shared" ca="1" si="25"/>
        <v>1.4662685385881442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3">
        <f>กาญจนบุรี!M250+จันทบุรี!M250+ฉะเชิงเทรา!M250+ชลบุรี!M250+ชัยนาท!M250+ตราด!M250+นครนายก!M250+นครปฐม!M250+ปทุมธานี!M250+ประจวบคีรีขันธ์!M250+ปราจีนบุรี!M250+พระนครศรีอยุธยา!M250+เพชรบุรี!M250+ระยอง!M250+ราชบุรี!M250+ลพบุรี!M250+สระแก้ว!M250+สระบุรี!M250+สิงห์บุรี!M250+สุพรรณบุรี!M250+อ่างทอง!M250</f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3">
        <f>กาญจนบุรี!M251+จันทบุรี!M251+ฉะเชิงเทรา!M251+ชลบุรี!M251+ชัยนาท!M251+ตราด!M251+นครนายก!M251+นครปฐม!M251+ปทุมธานี!M251+ประจวบคีรีขันธ์!M251+ปราจีนบุรี!M251+พระนครศรีอยุธยา!M251+เพชรบุรี!M251+ระยอง!M251+ราชบุรี!M251+ลพบุรี!M251+สระแก้ว!M251+สระบุรี!M251+สิงห์บุรี!M251+สุพรรณบุรี!M251+อ่างทอง!M251</f>
        <v>10633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3">
        <f>กาญจนบุรี!M252+จันทบุรี!M252+ฉะเชิงเทรา!M252+ชลบุรี!M252+ชัยนาท!M252+ตราด!M252+นครนายก!M252+นครปฐม!M252+ปทุมธานี!M252+ประจวบคีรีขันธ์!M252+ปราจีนบุรี!M252+พระนครศรีอยุธยา!M252+เพชรบุรี!M252+ระยอง!M252+ราชบุรี!M252+ลพบุรี!M252+สระแก้ว!M252+สระบุรี!M252+สิงห์บุรี!M252+สุพรรณบุรี!M252+อ่างทอง!M252</f>
        <v>17233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3">
        <f>กาญจนบุรี!M253+จันทบุรี!M253+ฉะเชิงเทรา!M253+ชลบุรี!M253+ชัยนาท!M253+ตราด!M253+นครนายก!M253+นครปฐม!M253+ปทุมธานี!M253+ประจวบคีรีขันธ์!M253+ปราจีนบุรี!M253+พระนครศรีอยุธยา!M253+เพชรบุรี!M253+ระยอง!M253+ราชบุรี!M253+ลพบุรี!M253+สระแก้ว!M253+สระบุรี!M253+สิงห์บุรี!M253+สุพรรณบุรี!M253+อ่างทอง!M253</f>
        <v>4740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f>กาญจนบุรี!J255+จันทบุรี!J255+ฉะเชิงเทรา!J255+ชลบุรี!J255+ชัยนาท!J255+ตราด!J255+นครนายก!J255+นครปฐม!J255+ปทุมธานี!J255+ประจวบคีรีขันธ์!J255+ปราจีนบุรี!J255+พระนครศรีอยุธยา!J255+เพชรบุรี!J255+ระยอง!J255+ราชบุรี!J255+ลพบุรี!J255+สระแก้ว!J255+สระบุรี!J255+สิงห์บุรี!J255+สุพรรณบุรี!J255+อ่างทอง!J255</f>
        <v>2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f>กาญจนบุรี!J256+จันทบุรี!J256+ฉะเชิงเทรา!J256+ชลบุรี!J256+ชัยนาท!J256+ตราด!J256+นครนายก!J256+นครปฐม!J256+ปทุมธานี!J256+ประจวบคีรีขันธ์!J256+ปราจีนบุรี!J256+พระนครศรีอยุธยา!J256+เพชรบุรี!J256+ระยอง!J256+ราชบุรี!J256+ลพบุรี!J256+สระแก้ว!J256+สระบุรี!J256+สิงห์บุรี!J256+สุพรรณบุรี!J256+อ่างทอง!J256</f>
        <v>4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f>กาญจนบุรี!J257+จันทบุรี!J257+ฉะเชิงเทรา!J257+ชลบุรี!J257+ชัยนาท!J257+ตราด!J257+นครนายก!J257+นครปฐม!J257+ปทุมธานี!J257+ประจวบคีรีขันธ์!J257+ปราจีนบุรี!J257+พระนครศรีอยุธยา!J257+เพชรบุรี!J257+ระยอง!J257+ราชบุรี!J257+ลพบุรี!J257+สระแก้ว!J257+สระบุรี!J257+สิงห์บุรี!J257+สุพรรณบุรี!J257+อ่างทอง!J257</f>
        <v>3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f>กาญจนบุรี!J258+จันทบุรี!J258+ฉะเชิงเทรา!J258+ชลบุรี!J258+ชัยนาท!J258+ตราด!J258+นครนายก!J258+นครปฐม!J258+ปทุมธานี!J258+ประจวบคีรีขันธ์!J258+ปราจีนบุรี!J258+พระนครศรีอยุธยา!J258+เพชรบุรี!J258+ระยอง!J258+ราชบุรี!J258+ลพบุรี!J258+สระแก้ว!J258+สระบุรี!J258+สิงห์บุรี!J258+สุพรรณบุรี!J258+อ่างทอง!J258</f>
        <v>2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กาญจนบุรี!J259+จันทบุรี!J259+ฉะเชิงเทรา!J259+ชลบุรี!J259+ชัยนาท!J259+ตราด!J259+นครนายก!J259+นครปฐม!J259+ปทุมธานี!J259+ประจวบคีรีขันธ์!J259+ปราจีนบุรี!J259+พระนครศรีอยุธยา!J259+เพชรบุรี!J259+ระยอง!J259+ราชบุรี!J259+ลพบุรี!J259+สระแก้ว!J259+สระบุรี!J259+สิงห์บุรี!J259+สุพรรณบุรี!J259+อ่างทอง!J259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กาญจนบุรี!I260+จันทบุรี!I260+ฉะเชิงเทรา!I260+ชลบุรี!I260+ชัยนาท!I260+ตราด!I260+นครนายก!I260+นครปฐม!I260+ปทุมธานี!I260+ประจวบคีรีขันธ์!I260+ปราจีนบุรี!I260+พระนครศรีอยุธยา!I260+เพชรบุรี!I260+ระยอง!I260+ราชบุรี!I260+ลพบุรี!I260+สระแก้ว!I260+สระบุรี!I260+สิงห์บุรี!I260+สุพรรณบุรี!I260+อ่างทอง!I260</f>
        <v>0</v>
      </c>
      <c r="J260" s="67">
        <f>กาญจนบุรี!J260+จันทบุรี!J260+ฉะเชิงเทรา!J260+ชลบุรี!J260+ชัยนาท!J260+ตราด!J260+นครนายก!J260+นครปฐม!J260+ปทุมธานี!J260+ประจวบคีรีขันธ์!J260+ปราจีนบุรี!J260+พระนครศรีอยุธยา!J260+เพชรบุรี!J260+ระยอง!J260+ราชบุรี!J260+ลพบุรี!J260+สระแก้ว!J260+สระบุรี!J260+สิงห์บุรี!J260+สุพรรณบุรี!J260+อ่างทอง!J260</f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ca="1">กาญจนบุรี!I262+จันทบุรี!I262+ฉะเชิงเทรา!I262+ชลบุรี!I262+ชัยนาท!I262+ตราด!I262+นครนายก!I262+นครปฐม!I262+ปทุมธานี!I262+ประจวบคีรีขันธ์!I262+ปราจีนบุรี!I262+พระนครศรีอยุธยา!I262+เพชรบุรี!I262+ระยอง!I262+ราชบุรี!I262+ลพบุรี!I262+สระแก้ว!I262+สระบุรี!I262+สิงห์บุรี!I262+สุพรรณบุรี!I262+อ่างทอง!I262</f>
        <v>634</v>
      </c>
      <c r="J262" s="66">
        <f>กาญจนบุรี!J262+จันทบุรี!J262+ฉะเชิงเทรา!J262+ชลบุรี!J262+ชัยนาท!J262+ตราด!J262+นครนายก!J262+นครปฐม!J262+ปทุมธานี!J262+ประจวบคีรีขันธ์!J262+ปราจีนบุรี!J262+พระนครศรีอยุธยา!J262+เพชรบุรี!J262+ระยอง!J262+ราชบุรี!J262+ลพบุรี!J262+สระแก้ว!J262+สระบุรี!J262+สิงห์บุรี!J262+สุพรรณบุรี!J262+อ่างทอง!J262</f>
        <v>0</v>
      </c>
      <c r="K262" s="48">
        <f t="shared" ref="K262:K268" ca="1" si="26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75"/>
      <c r="H263" s="65" t="s">
        <v>16</v>
      </c>
      <c r="I263" s="66">
        <f ca="1">กาญจนบุรี!I263+จันทบุรี!I263+ฉะเชิงเทรา!I263+ชลบุรี!I263+ชัยนาท!I263+ตราด!I263+นครนายก!I263+นครปฐม!I263+ปทุมธานี!I263+ประจวบคีรีขันธ์!I263+ปราจีนบุรี!I263+พระนครศรีอยุธยา!I263+เพชรบุรี!I263+ระยอง!I263+ราชบุรี!I263+ลพบุรี!I263+สระแก้ว!I263+สระบุรี!I263+สิงห์บุรี!I263+สุพรรณบุรี!I263+อ่างทอง!I263</f>
        <v>292</v>
      </c>
      <c r="J263" s="66">
        <f>กาญจนบุรี!J263+จันทบุรี!J263+ฉะเชิงเทรา!J263+ชลบุรี!J263+ชัยนาท!J263+ตราด!J263+นครนายก!J263+นครปฐม!J263+ปทุมธานี!J263+ประจวบคีรีขันธ์!J263+ปราจีนบุรี!J263+พระนครศรีอยุธยา!J263+เพชรบุรี!J263+ระยอง!J263+ราชบุรี!J263+ลพบุรี!J263+สระแก้ว!J263+สระบุรี!J263+สิงห์บุรี!J263+สุพรรณบุรี!J263+อ่างทอง!J263</f>
        <v>0</v>
      </c>
      <c r="K263" s="48">
        <f t="shared" ca="1" si="26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75"/>
      <c r="H264" s="59" t="s">
        <v>103</v>
      </c>
      <c r="I264" s="47">
        <f ca="1">กาญจนบุรี!I264+จันทบุรี!I264+ฉะเชิงเทรา!I264+ชลบุรี!I264+ชัยนาท!I264+ตราด!I264+นครนายก!I264+นครปฐม!I264+ปทุมธานี!I264+ประจวบคีรีขันธ์!I264+ปราจีนบุรี!I264+พระนครศรีอยุธยา!I264+เพชรบุรี!I264+ระยอง!I264+ราชบุรี!I264+ลพบุรี!I264+สระแก้ว!I264+สระบุรี!I264+สิงห์บุรี!I264+สุพรรณบุรี!I264+อ่างทอง!I264</f>
        <v>327</v>
      </c>
      <c r="J264" s="67">
        <f>กาญจนบุรี!J264+จันทบุรี!J264+ฉะเชิงเทรา!J264+ชลบุรี!J264+ชัยนาท!J264+ตราด!J264+นครนายก!J264+นครปฐม!J264+ปทุมธานี!J264+ประจวบคีรีขันธ์!J264+ปราจีนบุรี!J264+พระนครศรีอยุธยา!J264+เพชรบุรี!J264+ระยอง!J264+ราชบุรี!J264+ลพบุรี!J264+สระแก้ว!J264+สระบุรี!J264+สิงห์บุรี!J264+สุพรรณบุรี!J264+อ่างทอง!J264</f>
        <v>0</v>
      </c>
      <c r="K264" s="48">
        <f t="shared" ca="1" si="26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กาญจนบุรี!I265+จันทบุรี!I265+ฉะเชิงเทรา!I265+ชลบุรี!I265+ชัยนาท!I265+ตราด!I265+นครนายก!I265+นครปฐม!I265+ปทุมธานี!I265+ประจวบคีรีขันธ์!I265+ปราจีนบุรี!I265+พระนครศรีอยุธยา!I265+เพชรบุรี!I265+ระยอง!I265+ราชบุรี!I265+ลพบุรี!I265+สระแก้ว!I265+สระบุรี!I265+สิงห์บุรี!I265+สุพรรณบุรี!I265+อ่างทอง!I265</f>
        <v>292</v>
      </c>
      <c r="J265" s="67">
        <f>กาญจนบุรี!J265+จันทบุรี!J265+ฉะเชิงเทรา!J265+ชลบุรี!J265+ชัยนาท!J265+ตราด!J265+นครนายก!J265+นครปฐม!J265+ปทุมธานี!J265+ประจวบคีรีขันธ์!J265+ปราจีนบุรี!J265+พระนครศรีอยุธยา!J265+เพชรบุรี!J265+ระยอง!J265+ราชบุรี!J265+ลพบุรี!J265+สระแก้ว!J265+สระบุรี!J265+สิงห์บุรี!J265+สุพรรณบุรี!J265+อ่างทอง!J265</f>
        <v>0</v>
      </c>
      <c r="K265" s="48">
        <f t="shared" ca="1" si="26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75"/>
      <c r="H266" s="59" t="s">
        <v>103</v>
      </c>
      <c r="I266" s="47">
        <f ca="1">กาญจนบุรี!I266+จันทบุรี!I266+ฉะเชิงเทรา!I266+ชลบุรี!I266+ชัยนาท!I266+ตราด!I266+นครนายก!I266+นครปฐม!I266+ปทุมธานี!I266+ประจวบคีรีขันธ์!I266+ปราจีนบุรี!I266+พระนครศรีอยุธยา!I266+เพชรบุรี!I266+ระยอง!I266+ราชบุรี!I266+ลพบุรี!I266+สระแก้ว!I266+สระบุรี!I266+สิงห์บุรี!I266+สุพรรณบุรี!I266+อ่างทอง!I266</f>
        <v>307</v>
      </c>
      <c r="J266" s="67">
        <f>กาญจนบุรี!J266+จันทบุรี!J266+ฉะเชิงเทรา!J266+ชลบุรี!J266+ชัยนาท!J266+ตราด!J266+นครนายก!J266+นครปฐม!J266+ปทุมธานี!J266+ประจวบคีรีขันธ์!J266+ปราจีนบุรี!J266+พระนครศรีอยุธยา!J266+เพชรบุรี!J266+ระยอง!J266+ราชบุรี!J266+ลพบุรี!J266+สระแก้ว!J266+สระบุรี!J266+สิงห์บุรี!J266+สุพรรณบุรี!J266+อ่างทอง!J266</f>
        <v>0</v>
      </c>
      <c r="K266" s="48">
        <f t="shared" ca="1" si="26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กาญจนบุรี!I267+จันทบุรี!I267+ฉะเชิงเทรา!I267+ชลบุรี!I267+ชัยนาท!I267+ตราด!I267+นครนายก!I267+นครปฐม!I267+ปทุมธานี!I267+ประจวบคีรีขันธ์!I267+ปราจีนบุรี!I267+พระนครศรีอยุธยา!I267+เพชรบุรี!I267+ระยอง!I267+ราชบุรี!I267+ลพบุรี!I267+สระแก้ว!I267+สระบุรี!I267+สิงห์บุรี!I267+สุพรรณบุรี!I267+อ่างทอง!I267</f>
        <v>292</v>
      </c>
      <c r="J267" s="67">
        <f>กาญจนบุรี!J267+จันทบุรี!J267+ฉะเชิงเทรา!J267+ชลบุรี!J267+ชัยนาท!J267+ตราด!J267+นครนายก!J267+นครปฐม!J267+ปทุมธานี!J267+ประจวบคีรีขันธ์!J267+ปราจีนบุรี!J267+พระนครศรีอยุธยา!J267+เพชรบุรี!J267+ระยอง!J267+ราชบุรี!J267+ลพบุรี!J267+สระแก้ว!J267+สระบุรี!J267+สิงห์บุรี!J267+สุพรรณบุรี!J267+อ่างทอง!J267</f>
        <v>0</v>
      </c>
      <c r="K267" s="48">
        <f t="shared" ca="1" si="26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กาญจนบุรี!I268+จันทบุรี!I268+ฉะเชิงเทรา!I268+ชลบุรี!I268+ชัยนาท!I268+ตราด!I268+นครนายก!I268+นครปฐม!I268+ปทุมธานี!I268+ประจวบคีรีขันธ์!I268+ปราจีนบุรี!I268+พระนครศรีอยุธยา!I268+เพชรบุรี!I268+ระยอง!I268+ราชบุรี!I268+ลพบุรี!I268+สระแก้ว!I268+สระบุรี!I268+สิงห์บุรี!I268+สุพรรณบุรี!I268+อ่างทอง!I268</f>
        <v>0</v>
      </c>
      <c r="J268" s="67">
        <f>กาญจนบุรี!J268+จันทบุรี!J268+ฉะเชิงเทรา!J268+ชลบุรี!J268+ชัยนาท!J268+ตราด!J268+นครนายก!J268+นครปฐม!J268+ปทุมธานี!J268+ประจวบคีรีขันธ์!J268+ปราจีนบุรี!J268+พระนครศรีอยุธยา!J268+เพชรบุรี!J268+ระยอง!J268+ราชบุรี!J268+ลพบุรี!J268+สระแก้ว!J268+สระบุรี!J268+สิงห์บุรี!J268+สุพรรณบุรี!J268+อ่างทอง!J268</f>
        <v>0</v>
      </c>
      <c r="K268" s="48">
        <f t="shared" ca="1" si="26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47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ca="1">กาญจนบุรี!I270+จันทบุรี!I270+ฉะเชิงเทรา!I270+ชลบุรี!I270+ชัยนาท!I270+ตราด!I270+นครนายก!I270+นครปฐม!I270+ปทุมธานี!I270+ประจวบคีรีขันธ์!I270+ปราจีนบุรี!I270+พระนครศรีอยุธยา!I270+เพชรบุรี!I270+ระยอง!I270+ราชบุรี!I270+ลพบุรี!I270+สระแก้ว!I270+สระบุรี!I270+สิงห์บุรี!I270+สุพรรณบุรี!I270+อ่างทอง!I270</f>
        <v>634</v>
      </c>
      <c r="J270" s="66">
        <f>กาญจนบุรี!J270+จันทบุรี!J270+ฉะเชิงเทรา!J270+ชลบุรี!J270+ชัยนาท!J270+ตราด!J270+นครนายก!J270+นครปฐม!J270+ปทุมธานี!J270+ประจวบคีรีขันธ์!J270+ปราจีนบุรี!J270+พระนครศรีอยุธยา!J270+เพชรบุรี!J270+ระยอง!J270+ราชบุรี!J270+ลพบุรี!J270+สระแก้ว!J270+สระบุรี!J270+สิงห์บุรี!J270+สุพรรณบุรี!J270+อ่างทอง!J270</f>
        <v>0</v>
      </c>
      <c r="K270" s="48">
        <f t="shared" ref="K270:K272" ca="1" si="27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กาญจนบุรี!I271+จันทบุรี!I271+ฉะเชิงเทรา!I271+ชลบุรี!I271+ชัยนาท!I271+ตราด!I271+นครนายก!I271+นครปฐม!I271+ปทุมธานี!I271+ประจวบคีรีขันธ์!I271+ปราจีนบุรี!I271+พระนครศรีอยุธยา!I271+เพชรบุรี!I271+ระยอง!I271+ราชบุรี!I271+ลพบุรี!I271+สระแก้ว!I271+สระบุรี!I271+สิงห์บุรี!I271+สุพรรณบุรี!I271+อ่างทอง!I271</f>
        <v>307</v>
      </c>
      <c r="J271" s="67">
        <f>กาญจนบุรี!J271+จันทบุรี!J271+ฉะเชิงเทรา!J271+ชลบุรี!J271+ชัยนาท!J271+ตราด!J271+นครนายก!J271+นครปฐม!J271+ปทุมธานี!J271+ประจวบคีรีขันธ์!J271+ปราจีนบุรี!J271+พระนครศรีอยุธยา!J271+เพชรบุรี!J271+ระยอง!J271+ราชบุรี!J271+ลพบุรี!J271+สระแก้ว!J271+สระบุรี!J271+สิงห์บุรี!J271+สุพรรณบุรี!J271+อ่างทอง!J271</f>
        <v>0</v>
      </c>
      <c r="K271" s="48">
        <f t="shared" ca="1" si="27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กาญจนบุรี!I272+จันทบุรี!I272+ฉะเชิงเทรา!I272+ชลบุรี!I272+ชัยนาท!I272+ตราด!I272+นครนายก!I272+นครปฐม!I272+ปทุมธานี!I272+ประจวบคีรีขันธ์!I272+ปราจีนบุรี!I272+พระนครศรีอยุธยา!I272+เพชรบุรี!I272+ระยอง!I272+ราชบุรี!I272+ลพบุรี!I272+สระแก้ว!I272+สระบุรี!I272+สิงห์บุรี!I272+สุพรรณบุรี!I272+อ่างทอง!I272</f>
        <v>327</v>
      </c>
      <c r="J272" s="67">
        <f>กาญจนบุรี!J272+จันทบุรี!J272+ฉะเชิงเทรา!J272+ชลบุรี!J272+ชัยนาท!J272+ตราด!J272+นครนายก!J272+นครปฐม!J272+ปทุมธานี!J272+ประจวบคีรีขันธ์!J272+ปราจีนบุรี!J272+พระนครศรีอยุธยา!J272+เพชรบุรี!J272+ระยอง!J272+ราชบุรี!J272+ลพบุรี!J272+สระแก้ว!J272+สระบุรี!J272+สิงห์บุรี!J272+สุพรรณบุรี!J272+อ่างทอง!J272</f>
        <v>0</v>
      </c>
      <c r="K272" s="48">
        <f t="shared" ca="1" si="27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f>กาญจนบุรี!J273+จันทบุรี!J273+ฉะเชิงเทรา!J273+ชลบุรี!J273+ชัยนาท!J273+ตราด!J273+นครนายก!J273+นครปฐม!J273+ปทุมธานี!J273+ประจวบคีรีขันธ์!J273+ปราจีนบุรี!J273+พระนครศรีอยุธยา!J273+เพชรบุรี!J273+ระยอง!J273+ราชบุรี!J273+ลพบุรี!J273+สระแก้ว!J273+สระบุรี!J273+สิงห์บุรี!J273+สุพรรณบุรี!J273+อ่างทอง!J273</f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f>กาญจนบุรี!J274+จันทบุรี!J274+ฉะเชิงเทรา!J274+ชลบุรี!J274+ชัยนาท!J274+ตราด!J274+นครนายก!J274+นครปฐม!J274+ปทุมธานี!J274+ประจวบคีรีขันธ์!J274+ปราจีนบุรี!J274+พระนครศรีอยุธยา!J274+เพชรบุรี!J274+ระยอง!J274+ราชบุรี!J274+ลพบุรี!J274+สระแก้ว!J274+สระบุรี!J274+สิงห์บุรี!J274+สุพรรณบุรี!J274+อ่างทอง!J274</f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กาญจนบุรี!I275+จันทบุรี!I275+ฉะเชิงเทรา!I275+ชลบุรี!I275+ชัยนาท!I275+ตราด!I275+นครนายก!I275+นครปฐม!I275+ปทุมธานี!I275+ประจวบคีรีขันธ์!I275+ปราจีนบุรี!I275+พระนครศรีอยุธยา!I275+เพชรบุรี!I275+ระยอง!I275+ราชบุรี!I275+ลพบุรี!I275+สระแก้ว!I275+สระบุรี!I275+สิงห์บุรี!I275+สุพรรณบุรี!I275+อ่างทอง!I275</f>
        <v>8800</v>
      </c>
      <c r="J275" s="226">
        <f>กาญจนบุรี!J275+จันทบุรี!J275+ฉะเชิงเทรา!J275+ชลบุรี!J275+ชัยนาท!J275+ตราด!J275+นครนายก!J275+นครปฐม!J275+ปทุมธานี!J275+ประจวบคีรีขันธ์!J275+ปราจีนบุรี!J275+พระนครศรีอยุธยา!J275+เพชรบุรี!J275+ระยอง!J275+ราชบุรี!J275+ลพบุรี!J275+สระแก้ว!J275+สระบุรี!J275+สิงห์บุรี!J275+สุพรรณบุรี!J275+อ่างทอง!J275</f>
        <v>0</v>
      </c>
      <c r="K275" s="227">
        <f t="shared" ref="K275:K276" ca="1" si="28">IF(I275&gt;0,J275*100/I275,0)</f>
        <v>0</v>
      </c>
      <c r="L275" s="228">
        <f ca="1">กาญจนบุรี!L275+จันทบุรี!L275+ฉะเชิงเทรา!L275+ชลบุรี!L275+ชัยนาท!L275+ตราด!L275+นครนายก!L275+นครปฐม!L275+ปทุมธานี!L275+ประจวบคีรีขันธ์!L275+ปราจีนบุรี!L275+พระนครศรีอยุธยา!L275+เพชรบุรี!L275+ระยอง!L275+ราชบุรี!L275+ลพบุรี!L275+สระแก้ว!L275+สระบุรี!L275+สิงห์บุรี!L275+สุพรรณบุรี!L275+อ่างทอง!L275</f>
        <v>8972320</v>
      </c>
      <c r="M275" s="228">
        <f>กาญจนบุรี!M275+จันทบุรี!M275+ฉะเชิงเทรา!M275+ชลบุรี!M275+ชัยนาท!M275+ตราด!M275+นครนายก!M275+นครปฐม!M275+ปทุมธานี!M275+ประจวบคีรีขันธ์!M275+ปราจีนบุรี!M275+พระนครศรีอยุธยา!M275+เพชรบุรี!M275+ระยอง!M275+ราชบุรี!M275+ลพบุรี!M275+สระแก้ว!M275+สระบุรี!M275+สิงห์บุรี!M275+สุพรรณบุรี!M275+อ่างทอง!M275</f>
        <v>53760.95</v>
      </c>
      <c r="N275" s="228">
        <f ca="1">+IF(L275&gt;0,M275*100/L275,0)</f>
        <v>0.59918672093728265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กาญจนบุรี!I276+จันทบุรี!I276+ฉะเชิงเทรา!I276+ชลบุรี!I276+ชัยนาท!I276+ตราด!I276+นครนายก!I276+นครปฐม!I276+ปทุมธานี!I276+ประจวบคีรีขันธ์!I276+ปราจีนบุรี!I276+พระนครศรีอยุธยา!I276+เพชรบุรี!I276+ระยอง!I276+ราชบุรี!I276+ลพบุรี!I276+สระแก้ว!I276+สระบุรี!I276+สิงห์บุรี!I276+สุพรรณบุรี!I276+อ่างทอง!I276</f>
        <v>880</v>
      </c>
      <c r="J276" s="226">
        <f>กาญจนบุรี!J276+จันทบุรี!J276+ฉะเชิงเทรา!J276+ชลบุรี!J276+ชัยนาท!J276+ตราด!J276+นครนายก!J276+นครปฐม!J276+ปทุมธานี!J276+ประจวบคีรีขันธ์!J276+ปราจีนบุรี!J276+พระนครศรีอยุธยา!J276+เพชรบุรี!J276+ระยอง!J276+ราชบุรี!J276+ลพบุรี!J276+สระแก้ว!J276+สระบุรี!J276+สิงห์บุรี!J276+สุพรรณบุรี!J276+อ่างทอง!J276</f>
        <v>40</v>
      </c>
      <c r="K276" s="227">
        <f t="shared" ca="1" si="28"/>
        <v>4.5454545454545459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f>กาญจนบุรี!L277+จันทบุรี!L277+ฉะเชิงเทรา!L277+ชลบุรี!L277+ชัยนาท!L277+ตราด!L277+นครนายก!L277+นครปฐม!L277+ปทุมธานี!L277+ประจวบคีรีขันธ์!L277+ปราจีนบุรี!L277+พระนครศรีอยุธยา!L277+เพชรบุรี!L277+ระยอง!L277+ราชบุรี!L277+ลพบุรี!L277+สระแก้ว!L277+สระบุรี!L277+สิงห์บุรี!L277+สุพรรณบุรี!L277+อ่างทอง!L277</f>
        <v>0</v>
      </c>
      <c r="M277" s="49">
        <f>กาญจนบุรี!M277+จันทบุรี!M277+ฉะเชิงเทรา!M277+ชลบุรี!M277+ชัยนาท!M277+ตราด!M277+นครนายก!M277+นครปฐม!M277+ปทุมธานี!M277+ประจวบคีรีขันธ์!M277+ปราจีนบุรี!M277+พระนครศรีอยุธยา!M277+เพชรบุรี!M277+ระยอง!M277+ราชบุรี!M277+ลพบุรี!M277+สระแก้ว!M277+สระบุรี!M277+สิงห์บุรี!M277+สุพรรณบุรี!M277+อ่างทอง!M277</f>
        <v>0</v>
      </c>
      <c r="N277" s="49">
        <f t="shared" ref="N277:N280" si="29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ca="1">กาญจนบุรี!L278+จันทบุรี!L278+ฉะเชิงเทรา!L278+ชลบุรี!L278+ชัยนาท!L278+ตราด!L278+นครนายก!L278+นครปฐม!L278+ปทุมธานี!L278+ประจวบคีรีขันธ์!L278+ปราจีนบุรี!L278+พระนครศรีอยุธยา!L278+เพชรบุรี!L278+ระยอง!L278+ราชบุรี!L278+ลพบุรี!L278+สระแก้ว!L278+สระบุรี!L278+สิงห์บุรี!L278+สุพรรณบุรี!L278+อ่างทอง!L278</f>
        <v>8972320</v>
      </c>
      <c r="M278" s="49">
        <f>กาญจนบุรี!M278+จันทบุรี!M278+ฉะเชิงเทรา!M278+ชลบุรี!M278+ชัยนาท!M278+ตราด!M278+นครนายก!M278+นครปฐม!M278+ปทุมธานี!M278+ประจวบคีรีขันธ์!M278+ปราจีนบุรี!M278+พระนครศรีอยุธยา!M278+เพชรบุรี!M278+ระยอง!M278+ราชบุรี!M278+ลพบุรี!M278+สระแก้ว!M278+สระบุรี!M278+สิงห์บุรี!M278+สุพรรณบุรี!M278+อ่างทอง!M278</f>
        <v>53760.95</v>
      </c>
      <c r="N278" s="49">
        <f t="shared" ca="1" si="29"/>
        <v>0.59918672093728265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กาญจนบุรี!L279+จันทบุรี!L279+ฉะเชิงเทรา!L279+ชลบุรี!L279+ชัยนาท!L279+ตราด!L279+นครนายก!L279+นครปฐม!L279+ปทุมธานี!L279+ประจวบคีรีขันธ์!L279+ปราจีนบุรี!L279+พระนครศรีอยุธยา!L279+เพชรบุรี!L279+ระยอง!L279+ราชบุรี!L279+ลพบุรี!L279+สระแก้ว!L279+สระบุรี!L279+สิงห์บุรี!L279+สุพรรณบุรี!L279+อ่างทอง!L279</f>
        <v>0</v>
      </c>
      <c r="M279" s="52">
        <f>กาญจนบุรี!M279+จันทบุรี!M279+ฉะเชิงเทรา!M279+ชลบุรี!M279+ชัยนาท!M279+ตราด!M279+นครนายก!M279+นครปฐม!M279+ปทุมธานี!M279+ประจวบคีรีขันธ์!M279+ปราจีนบุรี!M279+พระนครศรีอยุธยา!M279+เพชรบุรี!M279+ระยอง!M279+ราชบุรี!M279+ลพบุรี!M279+สระแก้ว!M279+สระบุรี!M279+สิงห์บุรี!M279+สุพรรณบุรี!M279+อ่างทอง!M279</f>
        <v>0</v>
      </c>
      <c r="N279" s="52">
        <f t="shared" ca="1" si="29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กาญจนบุรี!L280+จันทบุรี!L280+ฉะเชิงเทรา!L280+ชลบุรี!L280+ชัยนาท!L280+ตราด!L280+นครนายก!L280+นครปฐม!L280+ปทุมธานี!L280+ประจวบคีรีขันธ์!L280+ปราจีนบุรี!L280+พระนครศรีอยุธยา!L280+เพชรบุรี!L280+ระยอง!L280+ราชบุรี!L280+ลพบุรี!L280+สระแก้ว!L280+สระบุรี!L280+สิงห์บุรี!L280+สุพรรณบุรี!L280+อ่างทอง!L280</f>
        <v>8972320</v>
      </c>
      <c r="M280" s="52">
        <f>กาญจนบุรี!M280+จันทบุรี!M280+ฉะเชิงเทรา!M280+ชลบุรี!M280+ชัยนาท!M280+ตราด!M280+นครนายก!M280+นครปฐม!M280+ปทุมธานี!M280+ประจวบคีรีขันธ์!M280+ปราจีนบุรี!M280+พระนครศรีอยุธยา!M280+เพชรบุรี!M280+ระยอง!M280+ราชบุรี!M280+ลพบุรี!M280+สระแก้ว!M280+สระบุรี!M280+สิงห์บุรี!M280+สุพรรณบุรี!M280+อ่างทอง!M280</f>
        <v>53760.95</v>
      </c>
      <c r="N280" s="52">
        <f t="shared" ca="1" si="29"/>
        <v>0.59918672093728265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f>กาญจนบุรี!M281+จันทบุรี!M281+ฉะเชิงเทรา!M281+ชลบุรี!M281+ชัยนาท!M281+ตราด!M281+นครนายก!M281+นครปฐม!M281+ปทุมธานี!M281+ประจวบคีรีขันธ์!M281+ปราจีนบุรี!M281+พระนครศรีอยุธยา!M281+เพชรบุรี!M281+ระยอง!M281+ราชบุรี!M281+ลพบุรี!M281+สระแก้ว!M281+สระบุรี!M281+สิงห์บุรี!M281+สุพรรณบุรี!M281+อ่างทอง!M281</f>
        <v>39049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f>กาญจนบุรี!M282+จันทบุรี!M282+ฉะเชิงเทรา!M282+ชลบุรี!M282+ชัยนาท!M282+ตราด!M282+นครนายก!M282+นครปฐม!M282+ปทุมธานี!M282+ประจวบคีรีขันธ์!M282+ปราจีนบุรี!M282+พระนครศรีอยุธยา!M282+เพชรบุรี!M282+ระยอง!M282+ราชบุรี!M282+ลพบุรี!M282+สระแก้ว!M282+สระบุรี!M282+สิงห์บุรี!M282+สุพรรณบุรี!M282+อ่างทอง!M282</f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f>กาญจนบุรี!M283+จันทบุรี!M283+ฉะเชิงเทรา!M283+ชลบุรี!M283+ชัยนาท!M283+ตราด!M283+นครนายก!M283+นครปฐม!M283+ปทุมธานี!M283+ประจวบคีรีขันธ์!M283+ปราจีนบุรี!M283+พระนครศรีอยุธยา!M283+เพชรบุรี!M283+ระยอง!M283+ราชบุรี!M283+ลพบุรี!M283+สระแก้ว!M283+สระบุรี!M283+สิงห์บุรี!M283+สุพรรณบุรี!M283+อ่างทอง!M283</f>
        <v>12841.95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f>กาญจนบุรี!M284+จันทบุรี!M284+ฉะเชิงเทรา!M284+ชลบุรี!M284+ชัยนาท!M284+ตราด!M284+นครนายก!M284+นครปฐม!M284+ปทุมธานี!M284+ประจวบคีรีขันธ์!M284+ปราจีนบุรี!M284+พระนครศรีอยุธยา!M284+เพชรบุรี!M284+ระยอง!M284+ราชบุรี!M284+ลพบุรี!M284+สระแก้ว!M284+สระบุรี!M284+สิงห์บุรี!M284+สุพรรณบุรี!M284+อ่างทอง!M284</f>
        <v>1870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f>กาญจนบุรี!J286+จันทบุรี!J286+ฉะเชิงเทรา!J286+ชลบุรี!J286+ชัยนาท!J286+ตราด!J286+นครนายก!J286+นครปฐม!J286+ปทุมธานี!J286+ประจวบคีรีขันธ์!J286+ปราจีนบุรี!J286+พระนครศรีอยุธยา!J286+เพชรบุรี!J286+ระยอง!J286+ราชบุรี!J286+ลพบุรี!J286+สระแก้ว!J286+สระบุรี!J286+สิงห์บุรี!J286+สุพรรณบุรี!J286+อ่างทอง!J286</f>
        <v>2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f>กาญจนบุรี!J287+จันทบุรี!J287+ฉะเชิงเทรา!J287+ชลบุรี!J287+ชัยนาท!J287+ตราด!J287+นครนายก!J287+นครปฐม!J287+ปทุมธานี!J287+ประจวบคีรีขันธ์!J287+ปราจีนบุรี!J287+พระนครศรีอยุธยา!J287+เพชรบุรี!J287+ระยอง!J287+ราชบุรี!J287+ลพบุรี!J287+สระแก้ว!J287+สระบุรี!J287+สิงห์บุรี!J287+สุพรรณบุรี!J287+อ่างทอง!J287</f>
        <v>7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f>กาญจนบุรี!J288+จันทบุรี!J288+ฉะเชิงเทรา!J288+ชลบุรี!J288+ชัยนาท!J288+ตราด!J288+นครนายก!J288+นครปฐม!J288+ปทุมธานี!J288+ประจวบคีรีขันธ์!J288+ปราจีนบุรี!J288+พระนครศรีอยุธยา!J288+เพชรบุรี!J288+ระยอง!J288+ราชบุรี!J288+ลพบุรี!J288+สระแก้ว!J288+สระบุรี!J288+สิงห์บุรี!J288+สุพรรณบุรี!J288+อ่างทอง!J288</f>
        <v>5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f>กาญจนบุรี!J289+จันทบุรี!J289+ฉะเชิงเทรา!J289+ชลบุรี!J289+ชัยนาท!J289+ตราด!J289+นครนายก!J289+นครปฐม!J289+ปทุมธานี!J289+ประจวบคีรีขันธ์!J289+ปราจีนบุรี!J289+พระนครศรีอยุธยา!J289+เพชรบุรี!J289+ระยอง!J289+ราชบุรี!J289+ลพบุรี!J289+สระแก้ว!J289+สระบุรี!J289+สิงห์บุรี!J289+สุพรรณบุรี!J289+อ่างทอง!J289</f>
        <v>4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กาญจนบุรี!I291+จันทบุรี!I291+ฉะเชิงเทรา!I291+ชลบุรี!I291+ชัยนาท!I291+ตราด!I291+นครนายก!I291+นครปฐม!I291+ปทุมธานี!I291+ประจวบคีรีขันธ์!I291+ปราจีนบุรี!I291+พระนครศรีอยุธยา!I291+เพชรบุรี!I291+ระยอง!I291+ราชบุรี!I291+ลพบุรี!I291+สระแก้ว!I291+สระบุรี!I291+สิงห์บุรี!I291+สุพรรณบุรี!I291+อ่างทอง!I291</f>
        <v>880</v>
      </c>
      <c r="J291" s="67">
        <f>กาญจนบุรี!J291+จันทบุรี!J291+ฉะเชิงเทรา!J291+ชลบุรี!J291+ชัยนาท!J291+ตราด!J291+นครนายก!J291+นครปฐม!J291+ปทุมธานี!J291+ประจวบคีรีขันธ์!J291+ปราจีนบุรี!J291+พระนครศรีอยุธยา!J291+เพชรบุรี!J291+ระยอง!J291+ราชบุรี!J291+ลพบุรี!J291+สระแก้ว!J291+สระบุรี!J291+สิงห์บุรี!J291+สุพรรณบุรี!J291+อ่างทอง!J291</f>
        <v>40</v>
      </c>
      <c r="K291" s="48">
        <f t="shared" ref="K291:K293" ca="1" si="30">IF(I291&gt;0,J291*100/I291,0)</f>
        <v>4.5454545454545459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กาญจนบุรี!I292+จันทบุรี!I292+ฉะเชิงเทรา!I292+ชลบุรี!I292+ชัยนาท!I292+ตราด!I292+นครนายก!I292+นครปฐม!I292+ปทุมธานี!I292+ประจวบคีรีขันธ์!I292+ปราจีนบุรี!I292+พระนครศรีอยุธยา!I292+เพชรบุรี!I292+ระยอง!I292+ราชบุรี!I292+ลพบุรี!I292+สระแก้ว!I292+สระบุรี!I292+สิงห์บุรี!I292+สุพรรณบุรี!I292+อ่างทอง!I292</f>
        <v>8800</v>
      </c>
      <c r="J292" s="67">
        <f>กาญจนบุรี!J292+จันทบุรี!J292+ฉะเชิงเทรา!J292+ชลบุรี!J292+ชัยนาท!J292+ตราด!J292+นครนายก!J292+นครปฐม!J292+ปทุมธานี!J292+ประจวบคีรีขันธ์!J292+ปราจีนบุรี!J292+พระนครศรีอยุธยา!J292+เพชรบุรี!J292+ระยอง!J292+ราชบุรี!J292+ลพบุรี!J292+สระแก้ว!J292+สระบุรี!J292+สิงห์บุรี!J292+สุพรรณบุรี!J292+อ่างทอง!J292</f>
        <v>0</v>
      </c>
      <c r="K292" s="48">
        <f t="shared" ca="1" si="30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กาญจนบุรี!I293+จันทบุรี!I293+ฉะเชิงเทรา!I293+ชลบุรี!I293+ชัยนาท!I293+ตราด!I293+นครนายก!I293+นครปฐม!I293+ปทุมธานี!I293+ประจวบคีรีขันธ์!I293+ปราจีนบุรี!I293+พระนครศรีอยุธยา!I293+เพชรบุรี!I293+ระยอง!I293+ราชบุรี!I293+ลพบุรี!I293+สระแก้ว!I293+สระบุรี!I293+สิงห์บุรี!I293+สุพรรณบุรี!I293+อ่างทอง!I293</f>
        <v>880</v>
      </c>
      <c r="J293" s="67">
        <f>กาญจนบุรี!J293+จันทบุรี!J293+ฉะเชิงเทรา!J293+ชลบุรี!J293+ชัยนาท!J293+ตราด!J293+นครนายก!J293+นครปฐม!J293+ปทุมธานี!J293+ประจวบคีรีขันธ์!J293+ปราจีนบุรี!J293+พระนครศรีอยุธยา!J293+เพชรบุรี!J293+ระยอง!J293+ราชบุรี!J293+ลพบุรี!J293+สระแก้ว!J293+สระบุรี!J293+สิงห์บุรี!J293+สุพรรณบุรี!J293+อ่างทอง!J293</f>
        <v>0</v>
      </c>
      <c r="K293" s="48">
        <f t="shared" ca="1" si="30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f>กาญจนบุรี!J294+จันทบุรี!J294+ฉะเชิงเทรา!J294+ชลบุรี!J294+ชัยนาท!J294+ตราด!J294+นครนายก!J294+นครปฐม!J294+ปทุมธานี!J294+ประจวบคีรีขันธ์!J294+ปราจีนบุรี!J294+พระนครศรีอยุธยา!J294+เพชรบุรี!J294+ระยอง!J294+ราชบุรี!J294+ลพบุรี!J294+สระแก้ว!J294+สระบุรี!J294+สิงห์บุรี!J294+สุพรรณบุรี!J294+อ่างทอง!J294</f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f>กาญจนบุรี!J295+จันทบุรี!J295+ฉะเชิงเทรา!J295+ชลบุรี!J295+ชัยนาท!J295+ตราด!J295+นครนายก!J295+นครปฐม!J295+ปทุมธานี!J295+ประจวบคีรีขันธ์!J295+ปราจีนบุรี!J295+พระนครศรีอยุธยา!J295+เพชรบุรี!J295+ระยอง!J295+ราชบุรี!J295+ลพบุรี!J295+สระแก้ว!J295+สระบุรี!J295+สิงห์บุรี!J295+สุพรรณบุรี!J295+อ่างทอง!J295</f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กาญจนบุรี!I296+จันทบุรี!I296+ฉะเชิงเทรา!I296+ชลบุรี!I296+ชัยนาท!I296+ตราด!I296+นครนายก!I296+นครปฐม!I296+ปทุมธานี!I296+ประจวบคีรีขันธ์!I296+ปราจีนบุรี!I296+พระนครศรีอยุธยา!I296+เพชรบุรี!I296+ระยอง!I296+ราชบุรี!I296+ลพบุรี!I296+สระแก้ว!I296+สระบุรี!I296+สิงห์บุรี!I296+สุพรรณบุรี!I296+อ่างทอง!I296</f>
        <v>3015</v>
      </c>
      <c r="J296" s="226">
        <f>กาญจนบุรี!J296+จันทบุรี!J296+ฉะเชิงเทรา!J296+ชลบุรี!J296+ชัยนาท!J296+ตราด!J296+นครนายก!J296+นครปฐม!J296+ปทุมธานี!J296+ประจวบคีรีขันธ์!J296+ปราจีนบุรี!J296+พระนครศรีอยุธยา!J296+เพชรบุรี!J296+ระยอง!J296+ราชบุรี!J296+ลพบุรี!J296+สระแก้ว!J296+สระบุรี!J296+สิงห์บุรี!J296+สุพรรณบุรี!J296+อ่างทอง!J296</f>
        <v>0</v>
      </c>
      <c r="K296" s="227">
        <f t="shared" ref="K296:K297" ca="1" si="31">IF(I296&gt;0,J296*100/I296,0)</f>
        <v>0</v>
      </c>
      <c r="L296" s="228">
        <f ca="1">กาญจนบุรี!L296+จันทบุรี!L296+ฉะเชิงเทรา!L296+ชลบุรี!L296+ชัยนาท!L296+ตราด!L296+นครนายก!L296+นครปฐม!L296+ปทุมธานี!L296+ประจวบคีรีขันธ์!L296+ปราจีนบุรี!L296+พระนครศรีอยุธยา!L296+เพชรบุรี!L296+ระยอง!L296+ราชบุรี!L296+ลพบุรี!L296+สระแก้ว!L296+สระบุรี!L296+สิงห์บุรี!L296+สุพรรณบุรี!L296+อ่างทอง!L296</f>
        <v>3392750</v>
      </c>
      <c r="M296" s="228">
        <f>กาญจนบุรี!M296+จันทบุรี!M296+ฉะเชิงเทรา!M296+ชลบุรี!M296+ชัยนาท!M296+ตราด!M296+นครนายก!M296+นครปฐม!M296+ปทุมธานี!M296+ประจวบคีรีขันธ์!M296+ปราจีนบุรี!M296+พระนครศรีอยุธยา!M296+เพชรบุรี!M296+ระยอง!M296+ราชบุรี!M296+ลพบุรี!M296+สระแก้ว!M296+สระบุรี!M296+สิงห์บุรี!M296+สุพรรณบุรี!M296+อ่างทอง!M296</f>
        <v>3820</v>
      </c>
      <c r="N296" s="228">
        <f ca="1">+IF(L296&gt;0,M296*100/L296,0)</f>
        <v>0.11259302925355538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กาญจนบุรี!I297+จันทบุรี!I297+ฉะเชิงเทรา!I297+ชลบุรี!I297+ชัยนาท!I297+ตราด!I297+นครนายก!I297+นครปฐม!I297+ปทุมธานี!I297+ประจวบคีรีขันธ์!I297+ปราจีนบุรี!I297+พระนครศรีอยุธยา!I297+เพชรบุรี!I297+ระยอง!I297+ราชบุรี!I297+ลพบุรี!I297+สระแก้ว!I297+สระบุรี!I297+สิงห์บุรี!I297+สุพรรณบุรี!I297+อ่างทอง!I297</f>
        <v>1005</v>
      </c>
      <c r="J297" s="226">
        <f>กาญจนบุรี!J297+จันทบุรี!J297+ฉะเชิงเทรา!J297+ชลบุรี!J297+ชัยนาท!J297+ตราด!J297+นครนายก!J297+นครปฐม!J297+ปทุมธานี!J297+ประจวบคีรีขันธ์!J297+ปราจีนบุรี!J297+พระนครศรีอยุธยา!J297+เพชรบุรี!J297+ระยอง!J297+ราชบุรี!J297+ลพบุรี!J297+สระแก้ว!J297+สระบุรี!J297+สิงห์บุรี!J297+สุพรรณบุรี!J297+อ่างทอง!J297</f>
        <v>0</v>
      </c>
      <c r="K297" s="227">
        <f t="shared" ca="1" si="31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f>กาญจนบุรี!L298+จันทบุรี!L298+ฉะเชิงเทรา!L298+ชลบุรี!L298+ชัยนาท!L298+ตราด!L298+นครนายก!L298+นครปฐม!L298+ปทุมธานี!L298+ประจวบคีรีขันธ์!L298+ปราจีนบุรี!L298+พระนครศรีอยุธยา!L298+เพชรบุรี!L298+ระยอง!L298+ราชบุรี!L298+ลพบุรี!L298+สระแก้ว!L298+สระบุรี!L298+สิงห์บุรี!L298+สุพรรณบุรี!L298+อ่างทอง!L298</f>
        <v>0</v>
      </c>
      <c r="M298" s="52">
        <f>กาญจนบุรี!M298+จันทบุรี!M298+ฉะเชิงเทรา!M298+ชลบุรี!M298+ชัยนาท!M298+ตราด!M298+นครนายก!M298+นครปฐม!M298+ปทุมธานี!M298+ประจวบคีรีขันธ์!M298+ปราจีนบุรี!M298+พระนครศรีอยุธยา!M298+เพชรบุรี!M298+ระยอง!M298+ราชบุรี!M298+ลพบุรี!M298+สระแก้ว!M298+สระบุรี!M298+สิงห์บุรี!M298+สุพรรณบุรี!M298+อ่างทอง!M298</f>
        <v>0</v>
      </c>
      <c r="N298" s="52">
        <f t="shared" ref="N298:N301" si="32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ca="1">กาญจนบุรี!L299+จันทบุรี!L299+ฉะเชิงเทรา!L299+ชลบุรี!L299+ชัยนาท!L299+ตราด!L299+นครนายก!L299+นครปฐม!L299+ปทุมธานี!L299+ประจวบคีรีขันธ์!L299+ปราจีนบุรี!L299+พระนครศรีอยุธยา!L299+เพชรบุรี!L299+ระยอง!L299+ราชบุรี!L299+ลพบุรี!L299+สระแก้ว!L299+สระบุรี!L299+สิงห์บุรี!L299+สุพรรณบุรี!L299+อ่างทอง!L299</f>
        <v>3392750</v>
      </c>
      <c r="M299" s="52">
        <f>กาญจนบุรี!M299+จันทบุรี!M299+ฉะเชิงเทรา!M299+ชลบุรี!M299+ชัยนาท!M299+ตราด!M299+นครนายก!M299+นครปฐม!M299+ปทุมธานี!M299+ประจวบคีรีขันธ์!M299+ปราจีนบุรี!M299+พระนครศรีอยุธยา!M299+เพชรบุรี!M299+ระยอง!M299+ราชบุรี!M299+ลพบุรี!M299+สระแก้ว!M299+สระบุรี!M299+สิงห์บุรี!M299+สุพรรณบุรี!M299+อ่างทอง!M299</f>
        <v>3820</v>
      </c>
      <c r="N299" s="52">
        <f t="shared" ca="1" si="32"/>
        <v>0.11259302925355538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กาญจนบุรี!L300+จันทบุรี!L300+ฉะเชิงเทรา!L300+ชลบุรี!L300+ชัยนาท!L300+ตราด!L300+นครนายก!L300+นครปฐม!L300+ปทุมธานี!L300+ประจวบคีรีขันธ์!L300+ปราจีนบุรี!L300+พระนครศรีอยุธยา!L300+เพชรบุรี!L300+ระยอง!L300+ราชบุรี!L300+ลพบุรี!L300+สระแก้ว!L300+สระบุรี!L300+สิงห์บุรี!L300+สุพรรณบุรี!L300+อ่างทอง!L300</f>
        <v>0</v>
      </c>
      <c r="M300" s="52">
        <f>กาญจนบุรี!M300+จันทบุรี!M300+ฉะเชิงเทรา!M300+ชลบุรี!M300+ชัยนาท!M300+ตราด!M300+นครนายก!M300+นครปฐม!M300+ปทุมธานี!M300+ประจวบคีรีขันธ์!M300+ปราจีนบุรี!M300+พระนครศรีอยุธยา!M300+เพชรบุรี!M300+ระยอง!M300+ราชบุรี!M300+ลพบุรี!M300+สระแก้ว!M300+สระบุรี!M300+สิงห์บุรี!M300+สุพรรณบุรี!M300+อ่างทอง!M300</f>
        <v>0</v>
      </c>
      <c r="N300" s="52">
        <f t="shared" ca="1" si="32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กาญจนบุรี!L301+จันทบุรี!L301+ฉะเชิงเทรา!L301+ชลบุรี!L301+ชัยนาท!L301+ตราด!L301+นครนายก!L301+นครปฐม!L301+ปทุมธานี!L301+ประจวบคีรีขันธ์!L301+ปราจีนบุรี!L301+พระนครศรีอยุธยา!L301+เพชรบุรี!L301+ระยอง!L301+ราชบุรี!L301+ลพบุรี!L301+สระแก้ว!L301+สระบุรี!L301+สิงห์บุรี!L301+สุพรรณบุรี!L301+อ่างทอง!L301</f>
        <v>3392750</v>
      </c>
      <c r="M301" s="52">
        <f>กาญจนบุรี!M301+จันทบุรี!M301+ฉะเชิงเทรา!M301+ชลบุรี!M301+ชัยนาท!M301+ตราด!M301+นครนายก!M301+นครปฐม!M301+ปทุมธานี!M301+ประจวบคีรีขันธ์!M301+ปราจีนบุรี!M301+พระนครศรีอยุธยา!M301+เพชรบุรี!M301+ระยอง!M301+ราชบุรี!M301+ลพบุรี!M301+สระแก้ว!M301+สระบุรี!M301+สิงห์บุรี!M301+สุพรรณบุรี!M301+อ่างทอง!M301</f>
        <v>3820</v>
      </c>
      <c r="N301" s="52">
        <f t="shared" ca="1" si="32"/>
        <v>0.11259302925355538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f>กาญจนบุรี!M302+จันทบุรี!M302+ฉะเชิงเทรา!M302+ชลบุรี!M302+ชัยนาท!M302+ตราด!M302+นครนายก!M302+นครปฐม!M302+ปทุมธานี!M302+ประจวบคีรีขันธ์!M302+ปราจีนบุรี!M302+พระนครศรีอยุธยา!M302+เพชรบุรี!M302+ระยอง!M302+ราชบุรี!M302+ลพบุรี!M302+สระแก้ว!M302+สระบุรี!M302+สิงห์บุรี!M302+สุพรรณบุรี!M302+อ่างทอง!M302</f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f>กาญจนบุรี!M303+จันทบุรี!M303+ฉะเชิงเทรา!M303+ชลบุรี!M303+ชัยนาท!M303+ตราด!M303+นครนายก!M303+นครปฐม!M303+ปทุมธานี!M303+ประจวบคีรีขันธ์!M303+ปราจีนบุรี!M303+พระนครศรีอยุธยา!M303+เพชรบุรี!M303+ระยอง!M303+ราชบุรี!M303+ลพบุรี!M303+สระแก้ว!M303+สระบุรี!M303+สิงห์บุรี!M303+สุพรรณบุรี!M303+อ่างทอง!M303</f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f>กาญจนบุรี!M304+จันทบุรี!M304+ฉะเชิงเทรา!M304+ชลบุรี!M304+ชัยนาท!M304+ตราด!M304+นครนายก!M304+นครปฐม!M304+ปทุมธานี!M304+ประจวบคีรีขันธ์!M304+ปราจีนบุรี!M304+พระนครศรีอยุธยา!M304+เพชรบุรี!M304+ระยอง!M304+ราชบุรี!M304+ลพบุรี!M304+สระแก้ว!M304+สระบุรี!M304+สิงห์บุรี!M304+สุพรรณบุรี!M304+อ่างทอง!M304</f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f>กาญจนบุรี!M305+จันทบุรี!M305+ฉะเชิงเทรา!M305+ชลบุรี!M305+ชัยนาท!M305+ตราด!M305+นครนายก!M305+นครปฐม!M305+ปทุมธานี!M305+ประจวบคีรีขันธ์!M305+ปราจีนบุรี!M305+พระนครศรีอยุธยา!M305+เพชรบุรี!M305+ระยอง!M305+ราชบุรี!M305+ลพบุรี!M305+สระแก้ว!M305+สระบุรี!M305+สิงห์บุรี!M305+สุพรรณบุรี!M305+อ่างทอง!M305</f>
        <v>3820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f>กาญจนบุรี!J307+จันทบุรี!J307+ฉะเชิงเทรา!J307+ชลบุรี!J307+ชัยนาท!J307+ตราด!J307+นครนายก!J307+นครปฐม!J307+ปทุมธานี!J307+ประจวบคีรีขันธ์!J307+ปราจีนบุรี!J307+พระนครศรีอยุธยา!J307+เพชรบุรี!J307+ระยอง!J307+ราชบุรี!J307+ลพบุรี!J307+สระแก้ว!J307+สระบุรี!J307+สิงห์บุรี!J307+สุพรรณบุรี!J307+อ่างทอง!J307</f>
        <v>8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f>กาญจนบุรี!J308+จันทบุรี!J308+ฉะเชิงเทรา!J308+ชลบุรี!J308+ชัยนาท!J308+ตราด!J308+นครนายก!J308+นครปฐม!J308+ปทุมธานี!J308+ประจวบคีรีขันธ์!J308+ปราจีนบุรี!J308+พระนครศรีอยุธยา!J308+เพชรบุรี!J308+ระยอง!J308+ราชบุรี!J308+ลพบุรี!J308+สระแก้ว!J308+สระบุรี!J308+สิงห์บุรี!J308+สุพรรณบุรี!J308+อ่างทอง!J308</f>
        <v>5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f>กาญจนบุรี!J309+จันทบุรี!J309+ฉะเชิงเทรา!J309+ชลบุรี!J309+ชัยนาท!J309+ตราด!J309+นครนายก!J309+นครปฐม!J309+ปทุมธานี!J309+ประจวบคีรีขันธ์!J309+ปราจีนบุรี!J309+พระนครศรีอยุธยา!J309+เพชรบุรี!J309+ระยอง!J309+ราชบุรี!J309+ลพบุรี!J309+สระแก้ว!J309+สระบุรี!J309+สิงห์บุรี!J309+สุพรรณบุรี!J309+อ่างทอง!J309</f>
        <v>2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f>กาญจนบุรี!J310+จันทบุรี!J310+ฉะเชิงเทรา!J310+ชลบุรี!J310+ชัยนาท!J310+ตราด!J310+นครนายก!J310+นครปฐม!J310+ปทุมธานี!J310+ประจวบคีรีขันธ์!J310+ปราจีนบุรี!J310+พระนครศรีอยุธยา!J310+เพชรบุรี!J310+ระยอง!J310+ราชบุรี!J310+ลพบุรี!J310+สระแก้ว!J310+สระบุรี!J310+สิงห์บุรี!J310+สุพรรณบุรี!J310+อ่างทอง!J310</f>
        <v>1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ca="1">กาญจนบุรี!I311+จันทบุรี!I311+ฉะเชิงเทรา!I311+ชลบุรี!I311+ชัยนาท!I311+ตราด!I311+นครนายก!I311+นครปฐม!I311+ปทุมธานี!I311+ประจวบคีรีขันธ์!I311+ปราจีนบุรี!I311+พระนครศรีอยุธยา!I311+เพชรบุรี!I311+ระยอง!I311+ราชบุรี!I311+ลพบุรี!I311+สระแก้ว!I311+สระบุรี!I311+สิงห์บุรี!I311+สุพรรณบุรี!I311+อ่างทอง!I311</f>
        <v>1005</v>
      </c>
      <c r="J311" s="78">
        <f>กาญจนบุรี!J311+จันทบุรี!J311+ฉะเชิงเทรา!J311+ชลบุรี!J311+ชัยนาท!J311+ตราด!J311+นครนายก!J311+นครปฐม!J311+ปทุมธานี!J311+ประจวบคีรีขันธ์!J311+ปราจีนบุรี!J311+พระนครศรีอยุธยา!J311+เพชรบุรี!J311+ระยอง!J311+ราชบุรี!J311+ลพบุรี!J311+สระแก้ว!J311+สระบุรี!J311+สิงห์บุรี!J311+สุพรรณบุรี!J311+อ่างทอง!J311</f>
        <v>0</v>
      </c>
      <c r="K311" s="79">
        <f t="shared" ref="K311:K327" ca="1" si="3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กาญจนบุรี!I312+จันทบุรี!I312+ฉะเชิงเทรา!I312+ชลบุรี!I312+ชัยนาท!I312+ตราด!I312+นครนายก!I312+นครปฐม!I312+ปทุมธานี!I312+ประจวบคีรีขันธ์!I312+ปราจีนบุรี!I312+พระนครศรีอยุธยา!I312+เพชรบุรี!I312+ระยอง!I312+ราชบุรี!I312+ลพบุรี!I312+สระแก้ว!I312+สระบุรี!I312+สิงห์บุรี!I312+สุพรรณบุรี!I312+อ่างทอง!I312</f>
        <v>238</v>
      </c>
      <c r="J312" s="153">
        <f>กาญจนบุรี!J312+จันทบุรี!J312+ฉะเชิงเทรา!J312+ชลบุรี!J312+ชัยนาท!J312+ตราด!J312+นครนายก!J312+นครปฐม!J312+ปทุมธานี!J312+ประจวบคีรีขันธ์!J312+ปราจีนบุรี!J312+พระนครศรีอยุธยา!J312+เพชรบุรี!J312+ระยอง!J312+ราชบุรี!J312+ลพบุรี!J312+สระแก้ว!J312+สระบุรี!J312+สิงห์บุรี!J312+สุพรรณบุรี!J312+อ่างทอง!J312</f>
        <v>0</v>
      </c>
      <c r="K312" s="79">
        <f t="shared" ca="1" si="3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กาญจนบุรี!I313+จันทบุรี!I313+ฉะเชิงเทรา!I313+ชลบุรี!I313+ชัยนาท!I313+ตราด!I313+นครนายก!I313+นครปฐม!I313+ปทุมธานี!I313+ประจวบคีรีขันธ์!I313+ปราจีนบุรี!I313+พระนครศรีอยุธยา!I313+เพชรบุรี!I313+ระยอง!I313+ราชบุรี!I313+ลพบุรี!I313+สระแก้ว!I313+สระบุรี!I313+สิงห์บุรี!I313+สุพรรณบุรี!I313+อ่างทอง!I313</f>
        <v>714</v>
      </c>
      <c r="J313" s="153">
        <f>กาญจนบุรี!J313+จันทบุรี!J313+ฉะเชิงเทรา!J313+ชลบุรี!J313+ชัยนาท!J313+ตราด!J313+นครนายก!J313+นครปฐม!J313+ปทุมธานี!J313+ประจวบคีรีขันธ์!J313+ปราจีนบุรี!J313+พระนครศรีอยุธยา!J313+เพชรบุรี!J313+ระยอง!J313+ราชบุรี!J313+ลพบุรี!J313+สระแก้ว!J313+สระบุรี!J313+สิงห์บุรี!J313+สุพรรณบุรี!J313+อ่างทอง!J313</f>
        <v>0</v>
      </c>
      <c r="K313" s="79">
        <f t="shared" ca="1" si="3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กาญจนบุรี!I314+จันทบุรี!I314+ฉะเชิงเทรา!I314+ชลบุรี!I314+ชัยนาท!I314+ตราด!I314+นครนายก!I314+นครปฐม!I314+ปทุมธานี!I314+ประจวบคีรีขันธ์!I314+ปราจีนบุรี!I314+พระนครศรีอยุธยา!I314+เพชรบุรี!I314+ระยอง!I314+ราชบุรี!I314+ลพบุรี!I314+สระแก้ว!I314+สระบุรี!I314+สิงห์บุรี!I314+สุพรรณบุรี!I314+อ่างทอง!I314</f>
        <v>238</v>
      </c>
      <c r="J314" s="67">
        <f>กาญจนบุรี!J314+จันทบุรี!J314+ฉะเชิงเทรา!J314+ชลบุรี!J314+ชัยนาท!J314+ตราด!J314+นครนายก!J314+นครปฐม!J314+ปทุมธานี!J314+ประจวบคีรีขันธ์!J314+ปราจีนบุรี!J314+พระนครศรีอยุธยา!J314+เพชรบุรี!J314+ระยอง!J314+ราชบุรี!J314+ลพบุรี!J314+สระแก้ว!J314+สระบุรี!J314+สิงห์บุรี!J314+สุพรรณบุรี!J314+อ่างทอง!J314</f>
        <v>0</v>
      </c>
      <c r="K314" s="48">
        <f t="shared" ca="1" si="3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กาญจนบุรี!I315+จันทบุรี!I315+ฉะเชิงเทรา!I315+ชลบุรี!I315+ชัยนาท!I315+ตราด!I315+นครนายก!I315+นครปฐม!I315+ปทุมธานี!I315+ประจวบคีรีขันธ์!I315+ปราจีนบุรี!I315+พระนครศรีอยุธยา!I315+เพชรบุรี!I315+ระยอง!I315+ราชบุรี!I315+ลพบุรี!I315+สระแก้ว!I315+สระบุรี!I315+สิงห์บุรี!I315+สุพรรณบุรี!I315+อ่างทอง!I315</f>
        <v>238</v>
      </c>
      <c r="J315" s="247">
        <f>กาญจนบุรี!J315+จันทบุรี!J315+ฉะเชิงเทรา!J315+ชลบุรี!J315+ชัยนาท!J315+ตราด!J315+นครนายก!J315+นครปฐม!J315+ปทุมธานี!J315+ประจวบคีรีขันธ์!J315+ปราจีนบุรี!J315+พระนครศรีอยุธยา!J315+เพชรบุรี!J315+ระยอง!J315+ราชบุรี!J315+ลพบุรี!J315+สระแก้ว!J315+สระบุรี!J315+สิงห์บุรี!J315+สุพรรณบุรี!J315+อ่างทอง!J315</f>
        <v>0</v>
      </c>
      <c r="K315" s="113">
        <f t="shared" ca="1" si="3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กาญจนบุรี!I316+จันทบุรี!I316+ฉะเชิงเทรา!I316+ชลบุรี!I316+ชัยนาท!I316+ตราด!I316+นครนายก!I316+นครปฐม!I316+ปทุมธานี!I316+ประจวบคีรีขันธ์!I316+ปราจีนบุรี!I316+พระนครศรีอยุธยา!I316+เพชรบุรี!I316+ระยอง!I316+ราชบุรี!I316+ลพบุรี!I316+สระแก้ว!I316+สระบุรี!I316+สิงห์บุรี!I316+สุพรรณบุรี!I316+อ่างทอง!I316</f>
        <v>531</v>
      </c>
      <c r="J316" s="153">
        <f>กาญจนบุรี!J316+จันทบุรี!J316+ฉะเชิงเทรา!J316+ชลบุรี!J316+ชัยนาท!J316+ตราด!J316+นครนายก!J316+นครปฐม!J316+ปทุมธานี!J316+ประจวบคีรีขันธ์!J316+ปราจีนบุรี!J316+พระนครศรีอยุธยา!J316+เพชรบุรี!J316+ระยอง!J316+ราชบุรี!J316+ลพบุรี!J316+สระแก้ว!J316+สระบุรี!J316+สิงห์บุรี!J316+สุพรรณบุรี!J316+อ่างทอง!J316</f>
        <v>0</v>
      </c>
      <c r="K316" s="79">
        <f t="shared" ca="1" si="3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กาญจนบุรี!I317+จันทบุรี!I317+ฉะเชิงเทรา!I317+ชลบุรี!I317+ชัยนาท!I317+ตราด!I317+นครนายก!I317+นครปฐม!I317+ปทุมธานี!I317+ประจวบคีรีขันธ์!I317+ปราจีนบุรี!I317+พระนครศรีอยุธยา!I317+เพชรบุรี!I317+ระยอง!I317+ราชบุรี!I317+ลพบุรี!I317+สระแก้ว!I317+สระบุรี!I317+สิงห์บุรี!I317+สุพรรณบุรี!I317+อ่างทอง!I317</f>
        <v>1593</v>
      </c>
      <c r="J317" s="153">
        <f>กาญจนบุรี!J317+จันทบุรี!J317+ฉะเชิงเทรา!J317+ชลบุรี!J317+ชัยนาท!J317+ตราด!J317+นครนายก!J317+นครปฐม!J317+ปทุมธานี!J317+ประจวบคีรีขันธ์!J317+ปราจีนบุรี!J317+พระนครศรีอยุธยา!J317+เพชรบุรี!J317+ระยอง!J317+ราชบุรี!J317+ลพบุรี!J317+สระแก้ว!J317+สระบุรี!J317+สิงห์บุรี!J317+สุพรรณบุรี!J317+อ่างทอง!J317</f>
        <v>0</v>
      </c>
      <c r="K317" s="79">
        <f t="shared" ca="1" si="3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กาญจนบุรี!I318+จันทบุรี!I318+ฉะเชิงเทรา!I318+ชลบุรี!I318+ชัยนาท!I318+ตราด!I318+นครนายก!I318+นครปฐม!I318+ปทุมธานี!I318+ประจวบคีรีขันธ์!I318+ปราจีนบุรี!I318+พระนครศรีอยุธยา!I318+เพชรบุรี!I318+ระยอง!I318+ราชบุรี!I318+ลพบุรี!I318+สระแก้ว!I318+สระบุรี!I318+สิงห์บุรี!I318+สุพรรณบุรี!I318+อ่างทอง!I318</f>
        <v>531</v>
      </c>
      <c r="J318" s="67">
        <f>กาญจนบุรี!J318+จันทบุรี!J318+ฉะเชิงเทรา!J318+ชลบุรี!J318+ชัยนาท!J318+ตราด!J318+นครนายก!J318+นครปฐม!J318+ปทุมธานี!J318+ประจวบคีรีขันธ์!J318+ปราจีนบุรี!J318+พระนครศรีอยุธยา!J318+เพชรบุรี!J318+ระยอง!J318+ราชบุรี!J318+ลพบุรี!J318+สระแก้ว!J318+สระบุรี!J318+สิงห์บุรี!J318+สุพรรณบุรี!J318+อ่างทอง!J318</f>
        <v>0</v>
      </c>
      <c r="K318" s="48">
        <f t="shared" ca="1" si="3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กาญจนบุรี!I319+จันทบุรี!I319+ฉะเชิงเทรา!I319+ชลบุรี!I319+ชัยนาท!I319+ตราด!I319+นครนายก!I319+นครปฐม!I319+ปทุมธานี!I319+ประจวบคีรีขันธ์!I319+ปราจีนบุรี!I319+พระนครศรีอยุธยา!I319+เพชรบุรี!I319+ระยอง!I319+ราชบุรี!I319+ลพบุรี!I319+สระแก้ว!I319+สระบุรี!I319+สิงห์บุรี!I319+สุพรรณบุรี!I319+อ่างทอง!I319</f>
        <v>531</v>
      </c>
      <c r="J319" s="67">
        <f>กาญจนบุรี!J319+จันทบุรี!J319+ฉะเชิงเทรา!J319+ชลบุรี!J319+ชัยนาท!J319+ตราด!J319+นครนายก!J319+นครปฐม!J319+ปทุมธานี!J319+ประจวบคีรีขันธ์!J319+ปราจีนบุรี!J319+พระนครศรีอยุธยา!J319+เพชรบุรี!J319+ระยอง!J319+ราชบุรี!J319+ลพบุรี!J319+สระแก้ว!J319+สระบุรี!J319+สิงห์บุรี!J319+สุพรรณบุรี!J319+อ่างทอง!J319</f>
        <v>0</v>
      </c>
      <c r="K319" s="48">
        <f t="shared" ca="1" si="3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กาญจนบุรี!I320+จันทบุรี!I320+ฉะเชิงเทรา!I320+ชลบุรี!I320+ชัยนาท!I320+ตราด!I320+นครนายก!I320+นครปฐม!I320+ปทุมธานี!I320+ประจวบคีรีขันธ์!I320+ปราจีนบุรี!I320+พระนครศรีอยุธยา!I320+เพชรบุรี!I320+ระยอง!I320+ราชบุรี!I320+ลพบุรี!I320+สระแก้ว!I320+สระบุรี!I320+สิงห์บุรี!I320+สุพรรณบุรี!I320+อ่างทอง!I320</f>
        <v>531</v>
      </c>
      <c r="J320" s="67">
        <f>กาญจนบุรี!J320+จันทบุรี!J320+ฉะเชิงเทรา!J320+ชลบุรี!J320+ชัยนาท!J320+ตราด!J320+นครนายก!J320+นครปฐม!J320+ปทุมธานี!J320+ประจวบคีรีขันธ์!J320+ปราจีนบุรี!J320+พระนครศรีอยุธยา!J320+เพชรบุรี!J320+ระยอง!J320+ราชบุรี!J320+ลพบุรี!J320+สระแก้ว!J320+สระบุรี!J320+สิงห์บุรี!J320+สุพรรณบุรี!J320+อ่างทอง!J320</f>
        <v>0</v>
      </c>
      <c r="K320" s="48">
        <f t="shared" ca="1" si="3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กาญจนบุรี!I321+จันทบุรี!I321+ฉะเชิงเทรา!I321+ชลบุรี!I321+ชัยนาท!I321+ตราด!I321+นครนายก!I321+นครปฐม!I321+ปทุมธานี!I321+ประจวบคีรีขันธ์!I321+ปราจีนบุรี!I321+พระนครศรีอยุธยา!I321+เพชรบุรี!I321+ระยอง!I321+ราชบุรี!I321+ลพบุรี!I321+สระแก้ว!I321+สระบุรี!I321+สิงห์บุรี!I321+สุพรรณบุรี!I321+อ่างทอง!I321</f>
        <v>236</v>
      </c>
      <c r="J321" s="153">
        <f>กาญจนบุรี!J321+จันทบุรี!J321+ฉะเชิงเทรา!J321+ชลบุรี!J321+ชัยนาท!J321+ตราด!J321+นครนายก!J321+นครปฐม!J321+ปทุมธานี!J321+ประจวบคีรีขันธ์!J321+ปราจีนบุรี!J321+พระนครศรีอยุธยา!J321+เพชรบุรี!J321+ระยอง!J321+ราชบุรี!J321+ลพบุรี!J321+สระแก้ว!J321+สระบุรี!J321+สิงห์บุรี!J321+สุพรรณบุรี!J321+อ่างทอง!J321</f>
        <v>0</v>
      </c>
      <c r="K321" s="79">
        <f t="shared" ca="1" si="3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กาญจนบุรี!I322+จันทบุรี!I322+ฉะเชิงเทรา!I322+ชลบุรี!I322+ชัยนาท!I322+ตราด!I322+นครนายก!I322+นครปฐม!I322+ปทุมธานี!I322+ประจวบคีรีขันธ์!I322+ปราจีนบุรี!I322+พระนครศรีอยุธยา!I322+เพชรบุรี!I322+ระยอง!I322+ราชบุรี!I322+ลพบุรี!I322+สระแก้ว!I322+สระบุรี!I322+สิงห์บุรี!I322+สุพรรณบุรี!I322+อ่างทอง!I322</f>
        <v>708</v>
      </c>
      <c r="J322" s="153">
        <f>กาญจนบุรี!J322+จันทบุรี!J322+ฉะเชิงเทรา!J322+ชลบุรี!J322+ชัยนาท!J322+ตราด!J322+นครนายก!J322+นครปฐม!J322+ปทุมธานี!J322+ประจวบคีรีขันธ์!J322+ปราจีนบุรี!J322+พระนครศรีอยุธยา!J322+เพชรบุรี!J322+ระยอง!J322+ราชบุรี!J322+ลพบุรี!J322+สระแก้ว!J322+สระบุรี!J322+สิงห์บุรี!J322+สุพรรณบุรี!J322+อ่างทอง!J322</f>
        <v>0</v>
      </c>
      <c r="K322" s="79">
        <f t="shared" ca="1" si="3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กาญจนบุรี!I323+จันทบุรี!I323+ฉะเชิงเทรา!I323+ชลบุรี!I323+ชัยนาท!I323+ตราด!I323+นครนายก!I323+นครปฐม!I323+ปทุมธานี!I323+ประจวบคีรีขันธ์!I323+ปราจีนบุรี!I323+พระนครศรีอยุธยา!I323+เพชรบุรี!I323+ระยอง!I323+ราชบุรี!I323+ลพบุรี!I323+สระแก้ว!I323+สระบุรี!I323+สิงห์บุรี!I323+สุพรรณบุรี!I323+อ่างทอง!I323</f>
        <v>236</v>
      </c>
      <c r="J323" s="67">
        <f>กาญจนบุรี!J323+จันทบุรี!J323+ฉะเชิงเทรา!J323+ชลบุรี!J323+ชัยนาท!J323+ตราด!J323+นครนายก!J323+นครปฐม!J323+ปทุมธานี!J323+ประจวบคีรีขันธ์!J323+ปราจีนบุรี!J323+พระนครศรีอยุธยา!J323+เพชรบุรี!J323+ระยอง!J323+ราชบุรี!J323+ลพบุรี!J323+สระแก้ว!J323+สระบุรี!J323+สิงห์บุรี!J323+สุพรรณบุรี!J323+อ่างทอง!J323</f>
        <v>0</v>
      </c>
      <c r="K323" s="48">
        <f t="shared" ca="1" si="3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กาญจนบุรี!I324+จันทบุรี!I324+ฉะเชิงเทรา!I324+ชลบุรี!I324+ชัยนาท!I324+ตราด!I324+นครนายก!I324+นครปฐม!I324+ปทุมธานี!I324+ประจวบคีรีขันธ์!I324+ปราจีนบุรี!I324+พระนครศรีอยุธยา!I324+เพชรบุรี!I324+ระยอง!I324+ราชบุรี!I324+ลพบุรี!I324+สระแก้ว!I324+สระบุรี!I324+สิงห์บุรี!I324+สุพรรณบุรี!I324+อ่างทอง!I324</f>
        <v>236</v>
      </c>
      <c r="J324" s="67">
        <f>กาญจนบุรี!J324+จันทบุรี!J324+ฉะเชิงเทรา!J324+ชลบุรี!J324+ชัยนาท!J324+ตราด!J324+นครนายก!J324+นครปฐม!J324+ปทุมธานี!J324+ประจวบคีรีขันธ์!J324+ปราจีนบุรี!J324+พระนครศรีอยุธยา!J324+เพชรบุรี!J324+ระยอง!J324+ราชบุรี!J324+ลพบุรี!J324+สระแก้ว!J324+สระบุรี!J324+สิงห์บุรี!J324+สุพรรณบุรี!J324+อ่างทอง!J324</f>
        <v>0</v>
      </c>
      <c r="K324" s="48">
        <f t="shared" ca="1" si="3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กาญจนบุรี!I325+จันทบุรี!I325+ฉะเชิงเทรา!I325+ชลบุรี!I325+ชัยนาท!I325+ตราด!I325+นครนายก!I325+นครปฐม!I325+ปทุมธานี!I325+ประจวบคีรีขันธ์!I325+ปราจีนบุรี!I325+พระนครศรีอยุธยา!I325+เพชรบุรี!I325+ระยอง!I325+ราชบุรี!I325+ลพบุรี!I325+สระแก้ว!I325+สระบุรี!I325+สิงห์บุรี!I325+สุพรรณบุรี!I325+อ่างทอง!I325</f>
        <v>769</v>
      </c>
      <c r="J325" s="78">
        <f>กาญจนบุรี!J325+จันทบุรี!J325+ฉะเชิงเทรา!J325+ชลบุรี!J325+ชัยนาท!J325+ตราด!J325+นครนายก!J325+นครปฐม!J325+ปทุมธานี!J325+ประจวบคีรีขันธ์!J325+ปราจีนบุรี!J325+พระนครศรีอยุธยา!J325+เพชรบุรี!J325+ระยอง!J325+ราชบุรี!J325+ลพบุรี!J325+สระแก้ว!J325+สระบุรี!J325+สิงห์บุรี!J325+สุพรรณบุรี!J325+อ่างทอง!J325</f>
        <v>0</v>
      </c>
      <c r="K325" s="79">
        <f t="shared" ca="1" si="3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กาญจนบุรี!I326+จันทบุรี!I326+ฉะเชิงเทรา!I326+ชลบุรี!I326+ชัยนาท!I326+ตราด!I326+นครนายก!I326+นครปฐม!I326+ปทุมธานี!I326+ประจวบคีรีขันธ์!I326+ปราจีนบุรี!I326+พระนครศรีอยุธยา!I326+เพชรบุรี!I326+ระยอง!I326+ราชบุรี!I326+ลพบุรี!I326+สระแก้ว!I326+สระบุรี!I326+สิงห์บุรี!I326+สุพรรณบุรี!I326+อ่างทอง!I326</f>
        <v>238</v>
      </c>
      <c r="J326" s="67">
        <f>กาญจนบุรี!J326+จันทบุรี!J326+ฉะเชิงเทรา!J326+ชลบุรี!J326+ชัยนาท!J326+ตราด!J326+นครนายก!J326+นครปฐม!J326+ปทุมธานี!J326+ประจวบคีรีขันธ์!J326+ปราจีนบุรี!J326+พระนครศรีอยุธยา!J326+เพชรบุรี!J326+ระยอง!J326+ราชบุรี!J326+ลพบุรี!J326+สระแก้ว!J326+สระบุรี!J326+สิงห์บุรี!J326+สุพรรณบุรี!J326+อ่างทอง!J326</f>
        <v>0</v>
      </c>
      <c r="K326" s="48">
        <f t="shared" ca="1" si="3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กาญจนบุรี!I327+จันทบุรี!I327+ฉะเชิงเทรา!I327+ชลบุรี!I327+ชัยนาท!I327+ตราด!I327+นครนายก!I327+นครปฐม!I327+ปทุมธานี!I327+ประจวบคีรีขันธ์!I327+ปราจีนบุรี!I327+พระนครศรีอยุธยา!I327+เพชรบุรี!I327+ระยอง!I327+ราชบุรี!I327+ลพบุรี!I327+สระแก้ว!I327+สระบุรี!I327+สิงห์บุรี!I327+สุพรรณบุรี!I327+อ่างทอง!I327</f>
        <v>531</v>
      </c>
      <c r="J327" s="67">
        <f>กาญจนบุรี!J327+จันทบุรี!J327+ฉะเชิงเทรา!J327+ชลบุรี!J327+ชัยนาท!J327+ตราด!J327+นครนายก!J327+นครปฐม!J327+ปทุมธานี!J327+ประจวบคีรีขันธ์!J327+ปราจีนบุรี!J327+พระนครศรีอยุธยา!J327+เพชรบุรี!J327+ระยอง!J327+ราชบุรี!J327+ลพบุรี!J327+สระแก้ว!J327+สระบุรี!J327+สิงห์บุรี!J327+สุพรรณบุรี!J327+อ่างทอง!J327</f>
        <v>0</v>
      </c>
      <c r="K327" s="48">
        <f t="shared" ca="1" si="3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f>กาญจนบุรี!J328+จันทบุรี!J328+ฉะเชิงเทรา!J328+ชลบุรี!J328+ชัยนาท!J328+ตราด!J328+นครนายก!J328+นครปฐม!J328+ปทุมธานี!J328+ประจวบคีรีขันธ์!J328+ปราจีนบุรี!J328+พระนครศรีอยุธยา!J328+เพชรบุรี!J328+ระยอง!J328+ราชบุรี!J328+ลพบุรี!J328+สระแก้ว!J328+สระบุรี!J328+สิงห์บุรี!J328+สุพรรณบุรี!J328+อ่างทอง!J328</f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f>กาญจนบุรี!J329+จันทบุรี!J329+ฉะเชิงเทรา!J329+ชลบุรี!J329+ชัยนาท!J329+ตราด!J329+นครนายก!J329+นครปฐม!J329+ปทุมธานี!J329+ประจวบคีรีขันธ์!J329+ปราจีนบุรี!J329+พระนครศรีอยุธยา!J329+เพชรบุรี!J329+ระยอง!J329+ราชบุรี!J329+ลพบุรี!J329+สระแก้ว!J329+สระบุรี!J329+สิงห์บุรี!J329+สุพรรณบุรี!J329+อ่างทอง!J329</f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กาญจนบุรี!I330+จันทบุรี!I330+ฉะเชิงเทรา!I330+ชลบุรี!I330+ชัยนาท!I330+ตราด!I330+นครนายก!I330+นครปฐม!I330+ปทุมธานี!I330+ประจวบคีรีขันธ์!I330+ปราจีนบุรี!I330+พระนครศรีอยุธยา!I330+เพชรบุรี!I330+ระยอง!I330+ราชบุรี!I330+ลพบุรี!I330+สระแก้ว!I330+สระบุรี!I330+สิงห์บุรี!I330+สุพรรณบุรี!I330+อ่างทอง!I330</f>
        <v>509</v>
      </c>
      <c r="J330" s="257">
        <f>กาญจนบุรี!J330+จันทบุรี!J330+ฉะเชิงเทรา!J330+ชลบุรี!J330+ชัยนาท!J330+ตราด!J330+นครนายก!J330+นครปฐม!J330+ปทุมธานี!J330+ประจวบคีรีขันธ์!J330+ปราจีนบุรี!J330+พระนครศรีอยุธยา!J330+เพชรบุรี!J330+ระยอง!J330+ราชบุรี!J330+ลพบุรี!J330+สระแก้ว!J330+สระบุรี!J330+สิงห์บุรี!J330+สุพรรณบุรี!J330+อ่างทอง!J330</f>
        <v>0</v>
      </c>
      <c r="K330" s="258">
        <f ca="1">IF(I330&gt;0,J330*100/I330,0)</f>
        <v>0</v>
      </c>
      <c r="L330" s="259">
        <f ca="1">กาญจนบุรี!L330+จันทบุรี!L330+ฉะเชิงเทรา!L330+ชลบุรี!L330+ชัยนาท!L330+ตราด!L330+นครนายก!L330+นครปฐม!L330+ปทุมธานี!L330+ประจวบคีรีขันธ์!L330+ปราจีนบุรี!L330+พระนครศรีอยุธยา!L330+เพชรบุรี!L330+ระยอง!L330+ราชบุรี!L330+ลพบุรี!L330+สระแก้ว!L330+สระบุรี!L330+สิงห์บุรี!L330+สุพรรณบุรี!L330+อ่างทอง!L330</f>
        <v>2152900</v>
      </c>
      <c r="M330" s="259">
        <f>กาญจนบุรี!M330+จันทบุรี!M330+ฉะเชิงเทรา!M330+ชลบุรี!M330+ชัยนาท!M330+ตราด!M330+นครนายก!M330+นครปฐม!M330+ปทุมธานี!M330+ประจวบคีรีขันธ์!M330+ปราจีนบุรี!M330+พระนครศรีอยุธยา!M330+เพชรบุรี!M330+ระยอง!M330+ราชบุรี!M330+ลพบุรี!M330+สระแก้ว!M330+สระบุรี!M330+สิงห์บุรี!M330+สุพรรณบุรี!M330+อ่างทอง!M330</f>
        <v>5610</v>
      </c>
      <c r="N330" s="259">
        <f t="shared" ref="N330:N334" ca="1" si="34">+IF(L330&gt;0,M330*100/L330,0)</f>
        <v>0.26057875423846905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f>กาญจนบุรี!L331+จันทบุรี!L331+ฉะเชิงเทรา!L331+ชลบุรี!L331+ชัยนาท!L331+ตราด!L331+นครนายก!L331+นครปฐม!L331+ปทุมธานี!L331+ประจวบคีรีขันธ์!L331+ปราจีนบุรี!L331+พระนครศรีอยุธยา!L331+เพชรบุรี!L331+ระยอง!L331+ราชบุรี!L331+ลพบุรี!L331+สระแก้ว!L331+สระบุรี!L331+สิงห์บุรี!L331+สุพรรณบุรี!L331+อ่างทอง!L331</f>
        <v>0</v>
      </c>
      <c r="M331" s="52">
        <f>กาญจนบุรี!M331+จันทบุรี!M331+ฉะเชิงเทรา!M331+ชลบุรี!M331+ชัยนาท!M331+ตราด!M331+นครนายก!M331+นครปฐม!M331+ปทุมธานี!M331+ประจวบคีรีขันธ์!M331+ปราจีนบุรี!M331+พระนครศรีอยุธยา!M331+เพชรบุรี!M331+ระยอง!M331+ราชบุรี!M331+ลพบุรี!M331+สระแก้ว!M331+สระบุรี!M331+สิงห์บุรี!M331+สุพรรณบุรี!M331+อ่างทอง!M331</f>
        <v>0</v>
      </c>
      <c r="N331" s="52">
        <f t="shared" si="34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ca="1">กาญจนบุรี!L332+จันทบุรี!L332+ฉะเชิงเทรา!L332+ชลบุรี!L332+ชัยนาท!L332+ตราด!L332+นครนายก!L332+นครปฐม!L332+ปทุมธานี!L332+ประจวบคีรีขันธ์!L332+ปราจีนบุรี!L332+พระนครศรีอยุธยา!L332+เพชรบุรี!L332+ระยอง!L332+ราชบุรี!L332+ลพบุรี!L332+สระแก้ว!L332+สระบุรี!L332+สิงห์บุรี!L332+สุพรรณบุรี!L332+อ่างทอง!L332</f>
        <v>2152900</v>
      </c>
      <c r="M332" s="52">
        <f>กาญจนบุรี!M332+จันทบุรี!M332+ฉะเชิงเทรา!M332+ชลบุรี!M332+ชัยนาท!M332+ตราด!M332+นครนายก!M332+นครปฐม!M332+ปทุมธานี!M332+ประจวบคีรีขันธ์!M332+ปราจีนบุรี!M332+พระนครศรีอยุธยา!M332+เพชรบุรี!M332+ระยอง!M332+ราชบุรี!M332+ลพบุรี!M332+สระแก้ว!M332+สระบุรี!M332+สิงห์บุรี!M332+สุพรรณบุรี!M332+อ่างทอง!M332</f>
        <v>5610</v>
      </c>
      <c r="N332" s="52">
        <f t="shared" ca="1" si="34"/>
        <v>0.26057875423846905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กาญจนบุรี!L333+จันทบุรี!L333+ฉะเชิงเทรา!L333+ชลบุรี!L333+ชัยนาท!L333+ตราด!L333+นครนายก!L333+นครปฐม!L333+ปทุมธานี!L333+ประจวบคีรีขันธ์!L333+ปราจีนบุรี!L333+พระนครศรีอยุธยา!L333+เพชรบุรี!L333+ระยอง!L333+ราชบุรี!L333+ลพบุรี!L333+สระแก้ว!L333+สระบุรี!L333+สิงห์บุรี!L333+สุพรรณบุรี!L333+อ่างทอง!L333</f>
        <v>0</v>
      </c>
      <c r="M333" s="52">
        <f>กาญจนบุรี!M333+จันทบุรี!M333+ฉะเชิงเทรา!M333+ชลบุรี!M333+ชัยนาท!M333+ตราด!M333+นครนายก!M333+นครปฐม!M333+ปทุมธานี!M333+ประจวบคีรีขันธ์!M333+ปราจีนบุรี!M333+พระนครศรีอยุธยา!M333+เพชรบุรี!M333+ระยอง!M333+ราชบุรี!M333+ลพบุรี!M333+สระแก้ว!M333+สระบุรี!M333+สิงห์บุรี!M333+สุพรรณบุรี!M333+อ่างทอง!M333</f>
        <v>0</v>
      </c>
      <c r="N333" s="52">
        <f t="shared" ca="1" si="34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กาญจนบุรี!L334+จันทบุรี!L334+ฉะเชิงเทรา!L334+ชลบุรี!L334+ชัยนาท!L334+ตราด!L334+นครนายก!L334+นครปฐม!L334+ปทุมธานี!L334+ประจวบคีรีขันธ์!L334+ปราจีนบุรี!L334+พระนครศรีอยุธยา!L334+เพชรบุรี!L334+ระยอง!L334+ราชบุรี!L334+ลพบุรี!L334+สระแก้ว!L334+สระบุรี!L334+สิงห์บุรี!L334+สุพรรณบุรี!L334+อ่างทอง!L334</f>
        <v>2152900</v>
      </c>
      <c r="M334" s="52">
        <f>กาญจนบุรี!M334+จันทบุรี!M334+ฉะเชิงเทรา!M334+ชลบุรี!M334+ชัยนาท!M334+ตราด!M334+นครนายก!M334+นครปฐม!M334+ปทุมธานี!M334+ประจวบคีรีขันธ์!M334+ปราจีนบุรี!M334+พระนครศรีอยุธยา!M334+เพชรบุรี!M334+ระยอง!M334+ราชบุรี!M334+ลพบุรี!M334+สระแก้ว!M334+สระบุรี!M334+สิงห์บุรี!M334+สุพรรณบุรี!M334+อ่างทอง!M334</f>
        <v>5610</v>
      </c>
      <c r="N334" s="52">
        <f t="shared" ca="1" si="34"/>
        <v>0.26057875423846905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f>กาญจนบุรี!M335+จันทบุรี!M335+ฉะเชิงเทรา!M335+ชลบุรี!M335+ชัยนาท!M335+ตราด!M335+นครนายก!M335+นครปฐม!M335+ปทุมธานี!M335+ประจวบคีรีขันธ์!M335+ปราจีนบุรี!M335+พระนครศรีอยุธยา!M335+เพชรบุรี!M335+ระยอง!M335+ราชบุรี!M335+ลพบุรี!M335+สระแก้ว!M335+สระบุรี!M335+สิงห์บุรี!M335+สุพรรณบุรี!M335+อ่างทอง!M335</f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f>กาญจนบุรี!M336+จันทบุรี!M336+ฉะเชิงเทรา!M336+ชลบุรี!M336+ชัยนาท!M336+ตราด!M336+นครนายก!M336+นครปฐม!M336+ปทุมธานี!M336+ประจวบคีรีขันธ์!M336+ปราจีนบุรี!M336+พระนครศรีอยุธยา!M336+เพชรบุรี!M336+ระยอง!M336+ราชบุรี!M336+ลพบุรี!M336+สระแก้ว!M336+สระบุรี!M336+สิงห์บุรี!M336+สุพรรณบุรี!M336+อ่างทอง!M336</f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f>กาญจนบุรี!M337+จันทบุรี!M337+ฉะเชิงเทรา!M337+ชลบุรี!M337+ชัยนาท!M337+ตราด!M337+นครนายก!M337+นครปฐม!M337+ปทุมธานี!M337+ประจวบคีรีขันธ์!M337+ปราจีนบุรี!M337+พระนครศรีอยุธยา!M337+เพชรบุรี!M337+ระยอง!M337+ราชบุรี!M337+ลพบุรี!M337+สระแก้ว!M337+สระบุรี!M337+สิงห์บุรี!M337+สุพรรณบุรี!M337+อ่างทอง!M337</f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f>กาญจนบุรี!M338+จันทบุรี!M338+ฉะเชิงเทรา!M338+ชลบุรี!M338+ชัยนาท!M338+ตราด!M338+นครนายก!M338+นครปฐม!M338+ปทุมธานี!M338+ประจวบคีรีขันธ์!M338+ปราจีนบุรี!M338+พระนครศรีอยุธยา!M338+เพชรบุรี!M338+ระยอง!M338+ราชบุรี!M338+ลพบุรี!M338+สระแก้ว!M338+สระบุรี!M338+สิงห์บุรี!M338+สุพรรณบุรี!M338+อ่างทอง!M338</f>
        <v>5610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f>กาญจนบุรี!J340+จันทบุรี!J340+ฉะเชิงเทรา!J340+ชลบุรี!J340+ชัยนาท!J340+ตราด!J340+นครนายก!J340+นครปฐม!J340+ปทุมธานี!J340+ประจวบคีรีขันธ์!J340+ปราจีนบุรี!J340+พระนครศรีอยุธยา!J340+เพชรบุรี!J340+ระยอง!J340+ราชบุรี!J340+ลพบุรี!J340+สระแก้ว!J340+สระบุรี!J340+สิงห์บุรี!J340+สุพรรณบุรี!J340+อ่างทอง!J340</f>
        <v>5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f>กาญจนบุรี!J341+จันทบุรี!J341+ฉะเชิงเทรา!J341+ชลบุรี!J341+ชัยนาท!J341+ตราด!J341+นครนายก!J341+นครปฐม!J341+ปทุมธานี!J341+ประจวบคีรีขันธ์!J341+ปราจีนบุรี!J341+พระนครศรีอยุธยา!J341+เพชรบุรี!J341+ระยอง!J341+ราชบุรี!J341+ลพบุรี!J341+สระแก้ว!J341+สระบุรี!J341+สิงห์บุรี!J341+สุพรรณบุรี!J341+อ่างทอง!J341</f>
        <v>9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f>กาญจนบุรี!J342+จันทบุรี!J342+ฉะเชิงเทรา!J342+ชลบุรี!J342+ชัยนาท!J342+ตราด!J342+นครนายก!J342+นครปฐม!J342+ปทุมธานี!J342+ประจวบคีรีขันธ์!J342+ปราจีนบุรี!J342+พระนครศรีอยุธยา!J342+เพชรบุรี!J342+ระยอง!J342+ราชบุรี!J342+ลพบุรี!J342+สระแก้ว!J342+สระบุรี!J342+สิงห์บุรี!J342+สุพรรณบุรี!J342+อ่างทอง!J342</f>
        <v>7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f>กาญจนบุรี!J343+จันทบุรี!J343+ฉะเชิงเทรา!J343+ชลบุรี!J343+ชัยนาท!J343+ตราด!J343+นครนายก!J343+นครปฐม!J343+ปทุมธานี!J343+ประจวบคีรีขันธ์!J343+ปราจีนบุรี!J343+พระนครศรีอยุธยา!J343+เพชรบุรี!J343+ระยอง!J343+ราชบุรี!J343+ลพบุรี!J343+สระแก้ว!J343+สระบุรี!J343+สิงห์บุรี!J343+สุพรรณบุรี!J343+อ่างทอง!J343</f>
        <v>6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ca="1">กาญจนบุรี!I344+จันทบุรี!I344+ฉะเชิงเทรา!I344+ชลบุรี!I344+ชัยนาท!I344+ตราด!I344+นครนายก!I344+นครปฐม!I344+ปทุมธานี!I344+ประจวบคีรีขันธ์!I344+ปราจีนบุรี!I344+พระนครศรีอยุธยา!I344+เพชรบุรี!I344+ระยอง!I344+ราชบุรี!I344+ลพบุรี!I344+สระแก้ว!I344+สระบุรี!I344+สิงห์บุรี!I344+สุพรรณบุรี!I344+อ่างทอง!I344</f>
        <v>509</v>
      </c>
      <c r="J344" s="78">
        <f>กาญจนบุรี!J344+จันทบุรี!J344+ฉะเชิงเทรา!J344+ชลบุรี!J344+ชัยนาท!J344+ตราด!J344+นครนายก!J344+นครปฐม!J344+ปทุมธานี!J344+ประจวบคีรีขันธ์!J344+ปราจีนบุรี!J344+พระนครศรีอยุธยา!J344+เพชรบุรี!J344+ระยอง!J344+ราชบุรี!J344+ลพบุรี!J344+สระแก้ว!J344+สระบุรี!J344+สิงห์บุรี!J344+สุพรรณบุรี!J344+อ่างทอง!J344</f>
        <v>0</v>
      </c>
      <c r="K344" s="48">
        <f t="shared" ref="K344:K347" ca="1" si="35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กาญจนบุรี!I345+จันทบุรี!I345+ฉะเชิงเทรา!I345+ชลบุรี!I345+ชัยนาท!I345+ตราด!I345+นครนายก!I345+นครปฐม!I345+ปทุมธานี!I345+ประจวบคีรีขันธ์!I345+ปราจีนบุรี!I345+พระนครศรีอยุธยา!I345+เพชรบุรี!I345+ระยอง!I345+ราชบุรี!I345+ลพบุรี!I345+สระแก้ว!I345+สระบุรี!I345+สิงห์บุรี!I345+สุพรรณบุรี!I345+อ่างทอง!I345</f>
        <v>399</v>
      </c>
      <c r="J345" s="67">
        <f>กาญจนบุรี!J345+จันทบุรี!J345+ฉะเชิงเทรา!J345+ชลบุรี!J345+ชัยนาท!J345+ตราด!J345+นครนายก!J345+นครปฐม!J345+ปทุมธานี!J345+ประจวบคีรีขันธ์!J345+ปราจีนบุรี!J345+พระนครศรีอยุธยา!J345+เพชรบุรี!J345+ระยอง!J345+ราชบุรี!J345+ลพบุรี!J345+สระแก้ว!J345+สระบุรี!J345+สิงห์บุรี!J345+สุพรรณบุรี!J345+อ่างทอง!J345</f>
        <v>0</v>
      </c>
      <c r="K345" s="48">
        <f t="shared" ca="1" si="35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กาญจนบุรี!I346+จันทบุรี!I346+ฉะเชิงเทรา!I346+ชลบุรี!I346+ชัยนาท!I346+ตราด!I346+นครนายก!I346+นครปฐม!I346+ปทุมธานี!I346+ประจวบคีรีขันธ์!I346+ปราจีนบุรี!I346+พระนครศรีอยุธยา!I346+เพชรบุรี!I346+ระยอง!I346+ราชบุรี!I346+ลพบุรี!I346+สระแก้ว!I346+สระบุรี!I346+สิงห์บุรี!I346+สุพรรณบุรี!I346+อ่างทอง!I346</f>
        <v>110</v>
      </c>
      <c r="J346" s="67">
        <f>กาญจนบุรี!J346+จันทบุรี!J346+ฉะเชิงเทรา!J346+ชลบุรี!J346+ชัยนาท!J346+ตราด!J346+นครนายก!J346+นครปฐม!J346+ปทุมธานี!J346+ประจวบคีรีขันธ์!J346+ปราจีนบุรี!J346+พระนครศรีอยุธยา!J346+เพชรบุรี!J346+ระยอง!J346+ราชบุรี!J346+ลพบุรี!J346+สระแก้ว!J346+สระบุรี!J346+สิงห์บุรี!J346+สุพรรณบุรี!J346+อ่างทอง!J346</f>
        <v>0</v>
      </c>
      <c r="K346" s="48">
        <f t="shared" ca="1" si="35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กาญจนบุรี!I347+จันทบุรี!I347+ฉะเชิงเทรา!I347+ชลบุรี!I347+ชัยนาท!I347+ตราด!I347+นครนายก!I347+นครปฐม!I347+ปทุมธานี!I347+ประจวบคีรีขันธ์!I347+ปราจีนบุรี!I347+พระนครศรีอยุธยา!I347+เพชรบุรี!I347+ระยอง!I347+ราชบุรี!I347+ลพบุรี!I347+สระแก้ว!I347+สระบุรี!I347+สิงห์บุรี!I347+สุพรรณบุรี!I347+อ่างทอง!I347</f>
        <v>0</v>
      </c>
      <c r="J347" s="67">
        <f>กาญจนบุรี!J347+จันทบุรี!J347+ฉะเชิงเทรา!J347+ชลบุรี!J347+ชัยนาท!J347+ตราด!J347+นครนายก!J347+นครปฐม!J347+ปทุมธานี!J347+ประจวบคีรีขันธ์!J347+ปราจีนบุรี!J347+พระนครศรีอยุธยา!J347+เพชรบุรี!J347+ระยอง!J347+ราชบุรี!J347+ลพบุรี!J347+สระแก้ว!J347+สระบุรี!J347+สิงห์บุรี!J347+สุพรรณบุรี!J347+อ่างทอง!J347</f>
        <v>0</v>
      </c>
      <c r="K347" s="48">
        <f t="shared" ca="1" si="35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f>กาญจนบุรี!J348+จันทบุรี!J348+ฉะเชิงเทรา!J348+ชลบุรี!J348+ชัยนาท!J348+ตราด!J348+นครนายก!J348+นครปฐม!J348+ปทุมธานี!J348+ประจวบคีรีขันธ์!J348+ปราจีนบุรี!J348+พระนครศรีอยุธยา!J348+เพชรบุรี!J348+ระยอง!J348+ราชบุรี!J348+ลพบุรี!J348+สระแก้ว!J348+สระบุรี!J348+สิงห์บุรี!J348+สุพรรณบุรี!J348+อ่างทอง!J348</f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f>กาญจนบุรี!J349+จันทบุรี!J349+ฉะเชิงเทรา!J349+ชลบุรี!J349+ชัยนาท!J349+ตราด!J349+นครนายก!J349+นครปฐม!J349+ปทุมธานี!J349+ประจวบคีรีขันธ์!J349+ปราจีนบุรี!J349+พระนครศรีอยุธยา!J349+เพชรบุรี!J349+ระยอง!J349+ราชบุรี!J349+ลพบุรี!J349+สระแก้ว!J349+สระบุรี!J349+สิงห์บุรี!J349+สุพรรณบุรี!J349+อ่างทอง!J349</f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กาญจนบุรี!I350+จันทบุรี!I350+ฉะเชิงเทรา!I350+ชลบุรี!I350+ชัยนาท!I350+ตราด!I350+นครนายก!I350+นครปฐม!I350+ปทุมธานี!I350+ประจวบคีรีขันธ์!I350+ปราจีนบุรี!I350+พระนครศรีอยุธยา!I350+เพชรบุรี!I350+ระยอง!I350+ราชบุรี!I350+ลพบุรี!I350+สระแก้ว!I350+สระบุรี!I350+สิงห์บุรี!I350+สุพรรณบุรี!I350+อ่างทอง!I350</f>
        <v>537650</v>
      </c>
      <c r="J350" s="226">
        <f>กาญจนบุรี!J350+จันทบุรี!J350+ฉะเชิงเทรา!J350+ชลบุรี!J350+ชัยนาท!J350+ตราด!J350+นครนายก!J350+นครปฐม!J350+ปทุมธานี!J350+ประจวบคีรีขันธ์!J350+ปราจีนบุรี!J350+พระนครศรีอยุธยา!J350+เพชรบุรี!J350+ระยอง!J350+ราชบุรี!J350+ลพบุรี!J350+สระแก้ว!J350+สระบุรี!J350+สิงห์บุรี!J350+สุพรรณบุรี!J350+อ่างทอง!J350</f>
        <v>0</v>
      </c>
      <c r="K350" s="227">
        <f ca="1">IF(I350&gt;0,J350*100/I350,0)</f>
        <v>0</v>
      </c>
      <c r="L350" s="228">
        <f ca="1">กาญจนบุรี!L350+จันทบุรี!L350+ฉะเชิงเทรา!L350+ชลบุรี!L350+ชัยนาท!L350+ตราด!L350+นครนายก!L350+นครปฐม!L350+ปทุมธานี!L350+ประจวบคีรีขันธ์!L350+ปราจีนบุรี!L350+พระนครศรีอยุธยา!L350+เพชรบุรี!L350+ระยอง!L350+ราชบุรี!L350+ลพบุรี!L350+สระแก้ว!L350+สระบุรี!L350+สิงห์บุรี!L350+สุพรรณบุรี!L350+อ่างทอง!L350</f>
        <v>5513963</v>
      </c>
      <c r="M350" s="228">
        <f>กาญจนบุรี!M350+จันทบุรี!M350+ฉะเชิงเทรา!M350+ชลบุรี!M350+ชัยนาท!M350+ตราด!M350+นครนายก!M350+นครปฐม!M350+ปทุมธานี!M350+ประจวบคีรีขันธ์!M350+ปราจีนบุรี!M350+พระนครศรีอยุธยา!M350+เพชรบุรี!M350+ระยอง!M350+ราชบุรี!M350+ลพบุรี!M350+สระแก้ว!M350+สระบุรี!M350+สิงห์บุรี!M350+สุพรรณบุรี!M350+อ่างทอง!M350</f>
        <v>10838.73</v>
      </c>
      <c r="N350" s="228">
        <f t="shared" ref="N350:N354" ca="1" si="36">+IF(L350&gt;0,M350*100/L350,0)</f>
        <v>0.1965687836497996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f>กาญจนบุรี!L351+จันทบุรี!L351+ฉะเชิงเทรา!L351+ชลบุรี!L351+ชัยนาท!L351+ตราด!L351+นครนายก!L351+นครปฐม!L351+ปทุมธานี!L351+ประจวบคีรีขันธ์!L351+ปราจีนบุรี!L351+พระนครศรีอยุธยา!L351+เพชรบุรี!L351+ระยอง!L351+ราชบุรี!L351+ลพบุรี!L351+สระแก้ว!L351+สระบุรี!L351+สิงห์บุรี!L351+สุพรรณบุรี!L351+อ่างทอง!L351</f>
        <v>0</v>
      </c>
      <c r="M351" s="52">
        <f>กาญจนบุรี!M351+จันทบุรี!M351+ฉะเชิงเทรา!M351+ชลบุรี!M351+ชัยนาท!M351+ตราด!M351+นครนายก!M351+นครปฐม!M351+ปทุมธานี!M351+ประจวบคีรีขันธ์!M351+ปราจีนบุรี!M351+พระนครศรีอยุธยา!M351+เพชรบุรี!M351+ระยอง!M351+ราชบุรี!M351+ลพบุรี!M351+สระแก้ว!M351+สระบุรี!M351+สิงห์บุรี!M351+สุพรรณบุรี!M351+อ่างทอง!M351</f>
        <v>0</v>
      </c>
      <c r="N351" s="52">
        <f t="shared" si="36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ca="1">กาญจนบุรี!L352+จันทบุรี!L352+ฉะเชิงเทรา!L352+ชลบุรี!L352+ชัยนาท!L352+ตราด!L352+นครนายก!L352+นครปฐม!L352+ปทุมธานี!L352+ประจวบคีรีขันธ์!L352+ปราจีนบุรี!L352+พระนครศรีอยุธยา!L352+เพชรบุรี!L352+ระยอง!L352+ราชบุรี!L352+ลพบุรี!L352+สระแก้ว!L352+สระบุรี!L352+สิงห์บุรี!L352+สุพรรณบุรี!L352+อ่างทอง!L352</f>
        <v>5513963</v>
      </c>
      <c r="M352" s="52">
        <f>กาญจนบุรี!M352+จันทบุรี!M352+ฉะเชิงเทรา!M352+ชลบุรี!M352+ชัยนาท!M352+ตราด!M352+นครนายก!M352+นครปฐม!M352+ปทุมธานี!M352+ประจวบคีรีขันธ์!M352+ปราจีนบุรี!M352+พระนครศรีอยุธยา!M352+เพชรบุรี!M352+ระยอง!M352+ราชบุรี!M352+ลพบุรี!M352+สระแก้ว!M352+สระบุรี!M352+สิงห์บุรี!M352+สุพรรณบุรี!M352+อ่างทอง!M352</f>
        <v>10838.73</v>
      </c>
      <c r="N352" s="52">
        <f t="shared" ca="1" si="36"/>
        <v>0.1965687836497996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กาญจนบุรี!L353+จันทบุรี!L353+ฉะเชิงเทรา!L353+ชลบุรี!L353+ชัยนาท!L353+ตราด!L353+นครนายก!L353+นครปฐม!L353+ปทุมธานี!L353+ประจวบคีรีขันธ์!L353+ปราจีนบุรี!L353+พระนครศรีอยุธยา!L353+เพชรบุรี!L353+ระยอง!L353+ราชบุรี!L353+ลพบุรี!L353+สระแก้ว!L353+สระบุรี!L353+สิงห์บุรี!L353+สุพรรณบุรี!L353+อ่างทอง!L353</f>
        <v>0</v>
      </c>
      <c r="M353" s="52">
        <f>กาญจนบุรี!M353+จันทบุรี!M353+ฉะเชิงเทรา!M353+ชลบุรี!M353+ชัยนาท!M353+ตราด!M353+นครนายก!M353+นครปฐม!M353+ปทุมธานี!M353+ประจวบคีรีขันธ์!M353+ปราจีนบุรี!M353+พระนครศรีอยุธยา!M353+เพชรบุรี!M353+ระยอง!M353+ราชบุรี!M353+ลพบุรี!M353+สระแก้ว!M353+สระบุรี!M353+สิงห์บุรี!M353+สุพรรณบุรี!M353+อ่างทอง!M353</f>
        <v>0</v>
      </c>
      <c r="N353" s="52">
        <f t="shared" ca="1" si="36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กาญจนบุรี!L354+จันทบุรี!L354+ฉะเชิงเทรา!L354+ชลบุรี!L354+ชัยนาท!L354+ตราด!L354+นครนายก!L354+นครปฐม!L354+ปทุมธานี!L354+ประจวบคีรีขันธ์!L354+ปราจีนบุรี!L354+พระนครศรีอยุธยา!L354+เพชรบุรี!L354+ระยอง!L354+ราชบุรี!L354+ลพบุรี!L354+สระแก้ว!L354+สระบุรี!L354+สิงห์บุรี!L354+สุพรรณบุรี!L354+อ่างทอง!L354</f>
        <v>5513963</v>
      </c>
      <c r="M354" s="52">
        <f>กาญจนบุรี!M354+จันทบุรี!M354+ฉะเชิงเทรา!M354+ชลบุรี!M354+ชัยนาท!M354+ตราด!M354+นครนายก!M354+นครปฐม!M354+ปทุมธานี!M354+ประจวบคีรีขันธ์!M354+ปราจีนบุรี!M354+พระนครศรีอยุธยา!M354+เพชรบุรี!M354+ระยอง!M354+ราชบุรี!M354+ลพบุรี!M354+สระแก้ว!M354+สระบุรี!M354+สิงห์บุรี!M354+สุพรรณบุรี!M354+อ่างทอง!M354</f>
        <v>10838.73</v>
      </c>
      <c r="N354" s="52">
        <f t="shared" ca="1" si="36"/>
        <v>0.1965687836497996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f>กาญจนบุรี!M355+จันทบุรี!M355+ฉะเชิงเทรา!M355+ชลบุรี!M355+ชัยนาท!M355+ตราด!M355+นครนายก!M355+นครปฐม!M355+ปทุมธานี!M355+ประจวบคีรีขันธ์!M355+ปราจีนบุรี!M355+พระนครศรีอยุธยา!M355+เพชรบุรี!M355+ระยอง!M355+ราชบุรี!M355+ลพบุรี!M355+สระแก้ว!M355+สระบุรี!M355+สิงห์บุรี!M355+สุพรรณบุรี!M355+อ่างทอง!M355</f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f>กาญจนบุรี!M356+จันทบุรี!M356+ฉะเชิงเทรา!M356+ชลบุรี!M356+ชัยนาท!M356+ตราด!M356+นครนายก!M356+นครปฐม!M356+ปทุมธานี!M356+ประจวบคีรีขันธ์!M356+ปราจีนบุรี!M356+พระนครศรีอยุธยา!M356+เพชรบุรี!M356+ระยอง!M356+ราชบุรี!M356+ลพบุรี!M356+สระแก้ว!M356+สระบุรี!M356+สิงห์บุรี!M356+สุพรรณบุรี!M356+อ่างทอง!M356</f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f>กาญจนบุรี!M357+จันทบุรี!M357+ฉะเชิงเทรา!M357+ชลบุรี!M357+ชัยนาท!M357+ตราด!M357+นครนายก!M357+นครปฐม!M357+ปทุมธานี!M357+ประจวบคีรีขันธ์!M357+ปราจีนบุรี!M357+พระนครศรีอยุธยา!M357+เพชรบุรี!M357+ระยอง!M357+ราชบุรี!M357+ลพบุรี!M357+สระแก้ว!M357+สระบุรี!M357+สิงห์บุรี!M357+สุพรรณบุรี!M357+อ่างทอง!M357</f>
        <v>10838.73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f>กาญจนบุรี!M358+จันทบุรี!M358+ฉะเชิงเทรา!M358+ชลบุรี!M358+ชัยนาท!M358+ตราด!M358+นครนายก!M358+นครปฐม!M358+ปทุมธานี!M358+ประจวบคีรีขันธ์!M358+ปราจีนบุรี!M358+พระนครศรีอยุธยา!M358+เพชรบุรี!M358+ระยอง!M358+ราชบุรี!M358+ลพบุรี!M358+สระแก้ว!M358+สระบุรี!M358+สิงห์บุรี!M358+สุพรรณบุรี!M358+อ่างทอง!M358</f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กาญจนบุรี!I359+จันทบุรี!I359+ฉะเชิงเทรา!I359+ชลบุรี!I359+ชัยนาท!I359+ตราด!I359+นครนายก!I359+นครปฐม!I359+ปทุมธานี!I359+ประจวบคีรีขันธ์!I359+ปราจีนบุรี!I359+พระนครศรีอยุธยา!I359+เพชรบุรี!I359+ระยอง!I359+ราชบุรี!I359+ลพบุรี!I359+สระแก้ว!I359+สระบุรี!I359+สิงห์บุรี!I359+สุพรรณบุรี!I359+อ่างทอง!I359</f>
        <v>537650</v>
      </c>
      <c r="J359" s="136">
        <f>กาญจนบุรี!J359+จันทบุรี!J359+ฉะเชิงเทรา!J359+ชลบุรี!J359+ชัยนาท!J359+ตราด!J359+นครนายก!J359+นครปฐม!J359+ปทุมธานี!J359+ประจวบคีรีขันธ์!J359+ปราจีนบุรี!J359+พระนครศรีอยุธยา!J359+เพชรบุรี!J359+ระยอง!J359+ราชบุรี!J359+ลพบุรี!J359+สระแก้ว!J359+สระบุรี!J359+สิงห์บุรี!J359+สุพรรณบุรี!J359+อ่างทอง!J359</f>
        <v>0</v>
      </c>
      <c r="K359" s="137">
        <f t="shared" ref="K359:K425" ca="1" si="37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กาญจนบุรี!I360+จันทบุรี!I360+ฉะเชิงเทรา!I360+ชลบุรี!I360+ชัยนาท!I360+ตราด!I360+นครนายก!I360+นครปฐม!I360+ปทุมธานี!I360+ประจวบคีรีขันธ์!I360+ปราจีนบุรี!I360+พระนครศรีอยุธยา!I360+เพชรบุรี!I360+ระยอง!I360+ราชบุรี!I360+ลพบุรี!I360+สระแก้ว!I360+สระบุรี!I360+สิงห์บุรี!I360+สุพรรณบุรี!I360+อ่างทอง!I360</f>
        <v>537650</v>
      </c>
      <c r="J360" s="265">
        <f>กาญจนบุรี!J360+จันทบุรี!J360+ฉะเชิงเทรา!J360+ชลบุรี!J360+ชัยนาท!J360+ตราด!J360+นครนายก!J360+นครปฐม!J360+ปทุมธานี!J360+ประจวบคีรีขันธ์!J360+ปราจีนบุรี!J360+พระนครศรีอยุธยา!J360+เพชรบุรี!J360+ระยอง!J360+ราชบุรี!J360+ลพบุรี!J360+สระแก้ว!J360+สระบุรี!J360+สิงห์บุรี!J360+สุพรรณบุรี!J360+อ่างทอง!J360</f>
        <v>0</v>
      </c>
      <c r="K360" s="79">
        <f t="shared" ca="1" si="37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กาญจนบุรี!I361+จันทบุรี!I361+ฉะเชิงเทรา!I361+ชลบุรี!I361+ชัยนาท!I361+ตราด!I361+นครนายก!I361+นครปฐม!I361+ปทุมธานี!I361+ประจวบคีรีขันธ์!I361+ปราจีนบุรี!I361+พระนครศรีอยุธยา!I361+เพชรบุรี!I361+ระยอง!I361+ราชบุรี!I361+ลพบุรี!I361+สระแก้ว!I361+สระบุรี!I361+สิงห์บุรี!I361+สุพรรณบุรี!I361+อ่างทอง!I361</f>
        <v>45637</v>
      </c>
      <c r="J361" s="265">
        <f>กาญจนบุรี!J361+จันทบุรี!J361+ฉะเชิงเทรา!J361+ชลบุรี!J361+ชัยนาท!J361+ตราด!J361+นครนายก!J361+นครปฐม!J361+ปทุมธานี!J361+ประจวบคีรีขันธ์!J361+ปราจีนบุรี!J361+พระนครศรีอยุธยา!J361+เพชรบุรี!J361+ระยอง!J361+ราชบุรี!J361+ลพบุรี!J361+สระแก้ว!J361+สระบุรี!J361+สิงห์บุรี!J361+สุพรรณบุรี!J361+อ่างทอง!J361</f>
        <v>0</v>
      </c>
      <c r="K361" s="79">
        <f t="shared" ca="1" si="37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f>กาญจนบุรี!J362+จันทบุรี!J362+ฉะเชิงเทรา!J362+ชลบุรี!J362+ชัยนาท!J362+ตราด!J362+นครนายก!J362+นครปฐม!J362+ปทุมธานี!J362+ประจวบคีรีขันธ์!J362+ปราจีนบุรี!J362+พระนครศรีอยุธยา!J362+เพชรบุรี!J362+ระยอง!J362+ราชบุรี!J362+ลพบุรี!J362+สระแก้ว!J362+สระบุรี!J362+สิงห์บุรี!J362+สุพรรณบุรี!J362+อ่างทอง!J362</f>
        <v>0</v>
      </c>
      <c r="K362" s="48">
        <f t="shared" si="37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f>กาญจนบุรี!J363+จันทบุรี!J363+ฉะเชิงเทรา!J363+ชลบุรี!J363+ชัยนาท!J363+ตราด!J363+นครนายก!J363+นครปฐม!J363+ปทุมธานี!J363+ประจวบคีรีขันธ์!J363+ปราจีนบุรี!J363+พระนครศรีอยุธยา!J363+เพชรบุรี!J363+ระยอง!J363+ราชบุรี!J363+ลพบุรี!J363+สระแก้ว!J363+สระบุรี!J363+สิงห์บุรี!J363+สุพรรณบุรี!J363+อ่างทอง!J363</f>
        <v>0</v>
      </c>
      <c r="K363" s="48">
        <f t="shared" si="37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f>กาญจนบุรี!J364+จันทบุรี!J364+ฉะเชิงเทรา!J364+ชลบุรี!J364+ชัยนาท!J364+ตราด!J364+นครนายก!J364+นครปฐม!J364+ปทุมธานี!J364+ประจวบคีรีขันธ์!J364+ปราจีนบุรี!J364+พระนครศรีอยุธยา!J364+เพชรบุรี!J364+ระยอง!J364+ราชบุรี!J364+ลพบุรี!J364+สระแก้ว!J364+สระบุรี!J364+สิงห์บุรี!J364+สุพรรณบุรี!J364+อ่างทอง!J364</f>
        <v>0</v>
      </c>
      <c r="K364" s="48">
        <f t="shared" si="37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f>กาญจนบุรี!J365+จันทบุรี!J365+ฉะเชิงเทรา!J365+ชลบุรี!J365+ชัยนาท!J365+ตราด!J365+นครนายก!J365+นครปฐม!J365+ปทุมธานี!J365+ประจวบคีรีขันธ์!J365+ปราจีนบุรี!J365+พระนครศรีอยุธยา!J365+เพชรบุรี!J365+ระยอง!J365+ราชบุรี!J365+ลพบุรี!J365+สระแก้ว!J365+สระบุรี!J365+สิงห์บุรี!J365+สุพรรณบุรี!J365+อ่างทอง!J365</f>
        <v>0</v>
      </c>
      <c r="K365" s="48">
        <f t="shared" si="37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f>กาญจนบุรี!J366+จันทบุรี!J366+ฉะเชิงเทรา!J366+ชลบุรี!J366+ชัยนาท!J366+ตราด!J366+นครนายก!J366+นครปฐม!J366+ปทุมธานี!J366+ประจวบคีรีขันธ์!J366+ปราจีนบุรี!J366+พระนครศรีอยุธยา!J366+เพชรบุรี!J366+ระยอง!J366+ราชบุรี!J366+ลพบุรี!J366+สระแก้ว!J366+สระบุรี!J366+สิงห์บุรี!J366+สุพรรณบุรี!J366+อ่างทอง!J366</f>
        <v>0</v>
      </c>
      <c r="K366" s="48">
        <f t="shared" si="37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f>กาญจนบุรี!J367+จันทบุรี!J367+ฉะเชิงเทรา!J367+ชลบุรี!J367+ชัยนาท!J367+ตราด!J367+นครนายก!J367+นครปฐม!J367+ปทุมธานี!J367+ประจวบคีรีขันธ์!J367+ปราจีนบุรี!J367+พระนครศรีอยุธยา!J367+เพชรบุรี!J367+ระยอง!J367+ราชบุรี!J367+ลพบุรี!J367+สระแก้ว!J367+สระบุรี!J367+สิงห์บุรี!J367+สุพรรณบุรี!J367+อ่างทอง!J367</f>
        <v>0</v>
      </c>
      <c r="K367" s="48">
        <f t="shared" si="37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กาญจนบุรี!I368+จันทบุรี!I368+ฉะเชิงเทรา!I368+ชลบุรี!I368+ชัยนาท!I368+ตราด!I368+นครนายก!I368+นครปฐม!I368+ปทุมธานี!I368+ประจวบคีรีขันธ์!I368+ปราจีนบุรี!I368+พระนครศรีอยุธยา!I368+เพชรบุรี!I368+ระยอง!I368+ราชบุรี!I368+ลพบุรี!I368+สระแก้ว!I368+สระบุรี!I368+สิงห์บุรี!I368+สุพรรณบุรี!I368+อ่างทอง!I368</f>
        <v>537650</v>
      </c>
      <c r="J368" s="265">
        <f>กาญจนบุรี!J368+จันทบุรี!J368+ฉะเชิงเทรา!J368+ชลบุรี!J368+ชัยนาท!J368+ตราด!J368+นครนายก!J368+นครปฐม!J368+ปทุมธานี!J368+ประจวบคีรีขันธ์!J368+ปราจีนบุรี!J368+พระนครศรีอยุธยา!J368+เพชรบุรี!J368+ระยอง!J368+ราชบุรี!J368+ลพบุรี!J368+สระแก้ว!J368+สระบุรี!J368+สิงห์บุรี!J368+สุพรรณบุรี!J368+อ่างทอง!J368</f>
        <v>0</v>
      </c>
      <c r="K368" s="79">
        <f t="shared" ca="1" si="37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265">
        <f ca="1">กาญจนบุรี!I369+จันทบุรี!I369+ฉะเชิงเทรา!I369+ชลบุรี!I369+ชัยนาท!I369+ตราด!I369+นครนายก!I369+นครปฐม!I369+ปทุมธานี!I369+ประจวบคีรีขันธ์!I369+ปราจีนบุรี!I369+พระนครศรีอยุธยา!I369+เพชรบุรี!I369+ระยอง!I369+ราชบุรี!I369+ลพบุรี!I369+สระแก้ว!I369+สระบุรี!I369+สิงห์บุรี!I369+สุพรรณบุรี!I369+อ่างทอง!I369</f>
        <v>45637</v>
      </c>
      <c r="J369" s="265">
        <f>กาญจนบุรี!J369+จันทบุรี!J369+ฉะเชิงเทรา!J369+ชลบุรี!J369+ชัยนาท!J369+ตราด!J369+นครนายก!J369+นครปฐม!J369+ปทุมธานี!J369+ประจวบคีรีขันธ์!J369+ปราจีนบุรี!J369+พระนครศรีอยุธยา!J369+เพชรบุรี!J369+ระยอง!J369+ราชบุรี!J369+ลพบุรี!J369+สระแก้ว!J369+สระบุรี!J369+สิงห์บุรี!J369+สุพรรณบุรี!J369+อ่างทอง!J369</f>
        <v>0</v>
      </c>
      <c r="K369" s="79">
        <f t="shared" ca="1" si="37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f>กาญจนบุรี!J370+จันทบุรี!J370+ฉะเชิงเทรา!J370+ชลบุรี!J370+ชัยนาท!J370+ตราด!J370+นครนายก!J370+นครปฐม!J370+ปทุมธานี!J370+ประจวบคีรีขันธ์!J370+ปราจีนบุรี!J370+พระนครศรีอยุธยา!J370+เพชรบุรี!J370+ระยอง!J370+ราชบุรี!J370+ลพบุรี!J370+สระแก้ว!J370+สระบุรี!J370+สิงห์บุรี!J370+สุพรรณบุรี!J370+อ่างทอง!J370</f>
        <v>0</v>
      </c>
      <c r="K370" s="48">
        <f t="shared" si="37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f>กาญจนบุรี!J371+จันทบุรี!J371+ฉะเชิงเทรา!J371+ชลบุรี!J371+ชัยนาท!J371+ตราด!J371+นครนายก!J371+นครปฐม!J371+ปทุมธานี!J371+ประจวบคีรีขันธ์!J371+ปราจีนบุรี!J371+พระนครศรีอยุธยา!J371+เพชรบุรี!J371+ระยอง!J371+ราชบุรี!J371+ลพบุรี!J371+สระแก้ว!J371+สระบุรี!J371+สิงห์บุรี!J371+สุพรรณบุรี!J371+อ่างทอง!J371</f>
        <v>0</v>
      </c>
      <c r="K371" s="48">
        <f t="shared" si="37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f>กาญจนบุรี!J372+จันทบุรี!J372+ฉะเชิงเทรา!J372+ชลบุรี!J372+ชัยนาท!J372+ตราด!J372+นครนายก!J372+นครปฐม!J372+ปทุมธานี!J372+ประจวบคีรีขันธ์!J372+ปราจีนบุรี!J372+พระนครศรีอยุธยา!J372+เพชรบุรี!J372+ระยอง!J372+ราชบุรี!J372+ลพบุรี!J372+สระแก้ว!J372+สระบุรี!J372+สิงห์บุรี!J372+สุพรรณบุรี!J372+อ่างทอง!J372</f>
        <v>0</v>
      </c>
      <c r="K372" s="48">
        <f t="shared" si="37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f>กาญจนบุรี!J373+จันทบุรี!J373+ฉะเชิงเทรา!J373+ชลบุรี!J373+ชัยนาท!J373+ตราด!J373+นครนายก!J373+นครปฐม!J373+ปทุมธานี!J373+ประจวบคีรีขันธ์!J373+ปราจีนบุรี!J373+พระนครศรีอยุธยา!J373+เพชรบุรี!J373+ระยอง!J373+ราชบุรี!J373+ลพบุรี!J373+สระแก้ว!J373+สระบุรี!J373+สิงห์บุรี!J373+สุพรรณบุรี!J373+อ่างทอง!J373</f>
        <v>0</v>
      </c>
      <c r="K373" s="48">
        <f t="shared" si="37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f>กาญจนบุรี!J374+จันทบุรี!J374+ฉะเชิงเทรา!J374+ชลบุรี!J374+ชัยนาท!J374+ตราด!J374+นครนายก!J374+นครปฐม!J374+ปทุมธานี!J374+ประจวบคีรีขันธ์!J374+ปราจีนบุรี!J374+พระนครศรีอยุธยา!J374+เพชรบุรี!J374+ระยอง!J374+ราชบุรี!J374+ลพบุรี!J374+สระแก้ว!J374+สระบุรี!J374+สิงห์บุรี!J374+สุพรรณบุรี!J374+อ่างทอง!J374</f>
        <v>0</v>
      </c>
      <c r="K374" s="48">
        <f t="shared" si="37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f>กาญจนบุรี!J375+จันทบุรี!J375+ฉะเชิงเทรา!J375+ชลบุรี!J375+ชัยนาท!J375+ตราด!J375+นครนายก!J375+นครปฐม!J375+ปทุมธานี!J375+ประจวบคีรีขันธ์!J375+ปราจีนบุรี!J375+พระนครศรีอยุธยา!J375+เพชรบุรี!J375+ระยอง!J375+ราชบุรี!J375+ลพบุรี!J375+สระแก้ว!J375+สระบุรี!J375+สิงห์บุรี!J375+สุพรรณบุรี!J375+อ่างทอง!J375</f>
        <v>0</v>
      </c>
      <c r="K375" s="48">
        <f t="shared" si="37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กาญจนบุรี!I376+จันทบุรี!I376+ฉะเชิงเทรา!I376+ชลบุรี!I376+ชัยนาท!I376+ตราด!I376+นครนายก!I376+นครปฐม!I376+ปทุมธานี!I376+ประจวบคีรีขันธ์!I376+ปราจีนบุรี!I376+พระนครศรีอยุธยา!I376+เพชรบุรี!I376+ระยอง!I376+ราชบุรี!I376+ลพบุรี!I376+สระแก้ว!I376+สระบุรี!I376+สิงห์บุรี!I376+สุพรรณบุรี!I376+อ่างทอง!I376</f>
        <v>537650</v>
      </c>
      <c r="J376" s="265">
        <f>กาญจนบุรี!J376+จันทบุรี!J376+ฉะเชิงเทรา!J376+ชลบุรี!J376+ชัยนาท!J376+ตราด!J376+นครนายก!J376+นครปฐม!J376+ปทุมธานี!J376+ประจวบคีรีขันธ์!J376+ปราจีนบุรี!J376+พระนครศรีอยุธยา!J376+เพชรบุรี!J376+ระยอง!J376+ราชบุรี!J376+ลพบุรี!J376+สระแก้ว!J376+สระบุรี!J376+สิงห์บุรี!J376+สุพรรณบุรี!J376+อ่างทอง!J376</f>
        <v>0</v>
      </c>
      <c r="K376" s="79">
        <f t="shared" ca="1" si="37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265">
        <f ca="1">กาญจนบุรี!I377+จันทบุรี!I377+ฉะเชิงเทรา!I377+ชลบุรี!I377+ชัยนาท!I377+ตราด!I377+นครนายก!I377+นครปฐม!I377+ปทุมธานี!I377+ประจวบคีรีขันธ์!I377+ปราจีนบุรี!I377+พระนครศรีอยุธยา!I377+เพชรบุรี!I377+ระยอง!I377+ราชบุรี!I377+ลพบุรี!I377+สระแก้ว!I377+สระบุรี!I377+สิงห์บุรี!I377+สุพรรณบุรี!I377+อ่างทอง!I377</f>
        <v>45637</v>
      </c>
      <c r="J377" s="265">
        <f>กาญจนบุรี!J377+จันทบุรี!J377+ฉะเชิงเทรา!J377+ชลบุรี!J377+ชัยนาท!J377+ตราด!J377+นครนายก!J377+นครปฐม!J377+ปทุมธานี!J377+ประจวบคีรีขันธ์!J377+ปราจีนบุรี!J377+พระนครศรีอยุธยา!J377+เพชรบุรี!J377+ระยอง!J377+ราชบุรี!J377+ลพบุรี!J377+สระแก้ว!J377+สระบุรี!J377+สิงห์บุรี!J377+สุพรรณบุรี!J377+อ่างทอง!J377</f>
        <v>0</v>
      </c>
      <c r="K377" s="79">
        <f t="shared" ca="1" si="37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f>กาญจนบุรี!J378+จันทบุรี!J378+ฉะเชิงเทรา!J378+ชลบุรี!J378+ชัยนาท!J378+ตราด!J378+นครนายก!J378+นครปฐม!J378+ปทุมธานี!J378+ประจวบคีรีขันธ์!J378+ปราจีนบุรี!J378+พระนครศรีอยุธยา!J378+เพชรบุรี!J378+ระยอง!J378+ราชบุรี!J378+ลพบุรี!J378+สระแก้ว!J378+สระบุรี!J378+สิงห์บุรี!J378+สุพรรณบุรี!J378+อ่างทอง!J378</f>
        <v>0</v>
      </c>
      <c r="K378" s="48">
        <f t="shared" si="37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f>กาญจนบุรี!J379+จันทบุรี!J379+ฉะเชิงเทรา!J379+ชลบุรี!J379+ชัยนาท!J379+ตราด!J379+นครนายก!J379+นครปฐม!J379+ปทุมธานี!J379+ประจวบคีรีขันธ์!J379+ปราจีนบุรี!J379+พระนครศรีอยุธยา!J379+เพชรบุรี!J379+ระยอง!J379+ราชบุรี!J379+ลพบุรี!J379+สระแก้ว!J379+สระบุรี!J379+สิงห์บุรี!J379+สุพรรณบุรี!J379+อ่างทอง!J379</f>
        <v>0</v>
      </c>
      <c r="K379" s="48">
        <f t="shared" si="37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f>กาญจนบุรี!J380+จันทบุรี!J380+ฉะเชิงเทรา!J380+ชลบุรี!J380+ชัยนาท!J380+ตราด!J380+นครนายก!J380+นครปฐม!J380+ปทุมธานี!J380+ประจวบคีรีขันธ์!J380+ปราจีนบุรี!J380+พระนครศรีอยุธยา!J380+เพชรบุรี!J380+ระยอง!J380+ราชบุรี!J380+ลพบุรี!J380+สระแก้ว!J380+สระบุรี!J380+สิงห์บุรี!J380+สุพรรณบุรี!J380+อ่างทอง!J380</f>
        <v>0</v>
      </c>
      <c r="K380" s="48">
        <f t="shared" si="37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f>กาญจนบุรี!J381+จันทบุรี!J381+ฉะเชิงเทรา!J381+ชลบุรี!J381+ชัยนาท!J381+ตราด!J381+นครนายก!J381+นครปฐม!J381+ปทุมธานี!J381+ประจวบคีรีขันธ์!J381+ปราจีนบุรี!J381+พระนครศรีอยุธยา!J381+เพชรบุรี!J381+ระยอง!J381+ราชบุรี!J381+ลพบุรี!J381+สระแก้ว!J381+สระบุรี!J381+สิงห์บุรี!J381+สุพรรณบุรี!J381+อ่างทอง!J381</f>
        <v>0</v>
      </c>
      <c r="K381" s="48">
        <f t="shared" si="37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>กาญจนบุรี!J382+จันทบุรี!J382+ฉะเชิงเทรา!J382+ชลบุรี!J382+ชัยนาท!J382+ตราด!J382+นครนายก!J382+นครปฐม!J382+ปทุมธานี!J382+ประจวบคีรีขันธ์!J382+ปราจีนบุรี!J382+พระนครศรีอยุธยา!J382+เพชรบุรี!J382+ระยอง!J382+ราชบุรี!J382+ลพบุรี!J382+สระแก้ว!J382+สระบุรี!J382+สิงห์บุรี!J382+สุพรรณบุรี!J382+อ่างทอง!J382</f>
        <v>0</v>
      </c>
      <c r="K382" s="48">
        <f t="shared" si="37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>กาญจนบุรี!J383+จันทบุรี!J383+ฉะเชิงเทรา!J383+ชลบุรี!J383+ชัยนาท!J383+ตราด!J383+นครนายก!J383+นครปฐม!J383+ปทุมธานี!J383+ประจวบคีรีขันธ์!J383+ปราจีนบุรี!J383+พระนครศรีอยุธยา!J383+เพชรบุรี!J383+ระยอง!J383+ราชบุรี!J383+ลพบุรี!J383+สระแก้ว!J383+สระบุรี!J383+สิงห์บุรี!J383+สุพรรณบุรี!J383+อ่างทอง!J383</f>
        <v>0</v>
      </c>
      <c r="K383" s="48">
        <f t="shared" si="37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f>กาญจนบุรี!J384+จันทบุรี!J384+ฉะเชิงเทรา!J384+ชลบุรี!J384+ชัยนาท!J384+ตราด!J384+นครนายก!J384+นครปฐม!J384+ปทุมธานี!J384+ประจวบคีรีขันธ์!J384+ปราจีนบุรี!J384+พระนครศรีอยุธยา!J384+เพชรบุรี!J384+ระยอง!J384+ราชบุรี!J384+ลพบุรี!J384+สระแก้ว!J384+สระบุรี!J384+สิงห์บุรี!J384+สุพรรณบุรี!J384+อ่างทอง!J384</f>
        <v>0</v>
      </c>
      <c r="K384" s="48">
        <f t="shared" si="37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f>กาญจนบุรี!J385+จันทบุรี!J385+ฉะเชิงเทรา!J385+ชลบุรี!J385+ชัยนาท!J385+ตราด!J385+นครนายก!J385+นครปฐม!J385+ปทุมธานี!J385+ประจวบคีรีขันธ์!J385+ปราจีนบุรี!J385+พระนครศรีอยุธยา!J385+เพชรบุรี!J385+ระยอง!J385+ราชบุรี!J385+ลพบุรี!J385+สระแก้ว!J385+สระบุรี!J385+สิงห์บุรี!J385+สุพรรณบุรี!J385+อ่างทอง!J385</f>
        <v>0</v>
      </c>
      <c r="K385" s="48">
        <f t="shared" si="37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f>กาญจนบุรี!J386+จันทบุรี!J386+ฉะเชิงเทรา!J386+ชลบุรี!J386+ชัยนาท!J386+ตราด!J386+นครนายก!J386+นครปฐม!J386+ปทุมธานี!J386+ประจวบคีรีขันธ์!J386+ปราจีนบุรี!J386+พระนครศรีอยุธยา!J386+เพชรบุรี!J386+ระยอง!J386+ราชบุรี!J386+ลพบุรี!J386+สระแก้ว!J386+สระบุรี!J386+สิงห์บุรี!J386+สุพรรณบุรี!J386+อ่างทอง!J386</f>
        <v>0</v>
      </c>
      <c r="K386" s="48">
        <f t="shared" si="37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f>กาญจนบุรี!J387+จันทบุรี!J387+ฉะเชิงเทรา!J387+ชลบุรี!J387+ชัยนาท!J387+ตราด!J387+นครนายก!J387+นครปฐม!J387+ปทุมธานี!J387+ประจวบคีรีขันธ์!J387+ปราจีนบุรี!J387+พระนครศรีอยุธยา!J387+เพชรบุรี!J387+ระยอง!J387+ราชบุรี!J387+ลพบุรี!J387+สระแก้ว!J387+สระบุรี!J387+สิงห์บุรี!J387+สุพรรณบุรี!J387+อ่างทอง!J387</f>
        <v>0</v>
      </c>
      <c r="K387" s="48">
        <f t="shared" si="37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f>กาญจนบุรี!J388+จันทบุรี!J388+ฉะเชิงเทรา!J388+ชลบุรี!J388+ชัยนาท!J388+ตราด!J388+นครนายก!J388+นครปฐม!J388+ปทุมธานี!J388+ประจวบคีรีขันธ์!J388+ปราจีนบุรี!J388+พระนครศรีอยุธยา!J388+เพชรบุรี!J388+ระยอง!J388+ราชบุรี!J388+ลพบุรี!J388+สระแก้ว!J388+สระบุรี!J388+สิงห์บุรี!J388+สุพรรณบุรี!J388+อ่างทอง!J388</f>
        <v>0</v>
      </c>
      <c r="K388" s="48">
        <f t="shared" si="37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47">
        <v>0</v>
      </c>
      <c r="J389" s="67">
        <f>กาญจนบุรี!J389+จันทบุรี!J389+ฉะเชิงเทรา!J389+ชลบุรี!J389+ชัยนาท!J389+ตราด!J389+นครนายก!J389+นครปฐม!J389+ปทุมธานี!J389+ประจวบคีรีขันธ์!J389+ปราจีนบุรี!J389+พระนครศรีอยุธยา!J389+เพชรบุรี!J389+ระยอง!J389+ราชบุรี!J389+ลพบุรี!J389+สระแก้ว!J389+สระบุรี!J389+สิงห์บุรี!J389+สุพรรณบุรี!J389+อ่างทอง!J389</f>
        <v>0</v>
      </c>
      <c r="K389" s="48">
        <f t="shared" si="37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กาญจนบุรี!I390+จันทบุรี!I390+ฉะเชิงเทรา!I390+ชลบุรี!I390+ชัยนาท!I390+ตราด!I390+นครนายก!I390+นครปฐม!I390+ปทุมธานี!I390+ประจวบคีรีขันธ์!I390+ปราจีนบุรี!I390+พระนครศรีอยุธยา!I390+เพชรบุรี!I390+ระยอง!I390+ราชบุรี!I390+ลพบุรี!I390+สระแก้ว!I390+สระบุรี!I390+สิงห์บุรี!I390+สุพรรณบุรี!I390+อ่างทอง!I390</f>
        <v>59971</v>
      </c>
      <c r="J390" s="136">
        <f>กาญจนบุรี!J390+จันทบุรี!J390+ฉะเชิงเทรา!J390+ชลบุรี!J390+ชัยนาท!J390+ตราด!J390+นครนายก!J390+นครปฐม!J390+ปทุมธานี!J390+ประจวบคีรีขันธ์!J390+ปราจีนบุรี!J390+พระนครศรีอยุธยา!J390+เพชรบุรี!J390+ระยอง!J390+ราชบุรี!J390+ลพบุรี!J390+สระแก้ว!J390+สระบุรี!J390+สิงห์บุรี!J390+สุพรรณบุรี!J390+อ่างทอง!J390</f>
        <v>201</v>
      </c>
      <c r="K390" s="137">
        <f t="shared" ca="1" si="37"/>
        <v>0.33516199496423271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กาญจนบุรี!I391+จันทบุรี!I391+ฉะเชิงเทรา!I391+ชลบุรี!I391+ชัยนาท!I391+ตราด!I391+นครนายก!I391+นครปฐม!I391+ปทุมธานี!I391+ประจวบคีรีขันธ์!I391+ปราจีนบุรี!I391+พระนครศรีอยุธยา!I391+เพชรบุรี!I391+ระยอง!I391+ราชบุรี!I391+ลพบุรี!I391+สระแก้ว!I391+สระบุรี!I391+สิงห์บุรี!I391+สุพรรณบุรี!I391+อ่างทอง!I391</f>
        <v>59971</v>
      </c>
      <c r="J391" s="265">
        <f>กาญจนบุรี!J391+จันทบุรี!J391+ฉะเชิงเทรา!J391+ชลบุรี!J391+ชัยนาท!J391+ตราด!J391+นครนายก!J391+นครปฐม!J391+ปทุมธานี!J391+ประจวบคีรีขันธ์!J391+ปราจีนบุรี!J391+พระนครศรีอยุธยา!J391+เพชรบุรี!J391+ระยอง!J391+ราชบุรี!J391+ลพบุรี!J391+สระแก้ว!J391+สระบุรี!J391+สิงห์บุรี!J391+สุพรรณบุรี!J391+อ่างทอง!J391</f>
        <v>201</v>
      </c>
      <c r="K391" s="284">
        <f t="shared" ca="1" si="37"/>
        <v>0.33516199496423271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กาญจนบุรี!I392+จันทบุรี!I392+ฉะเชิงเทรา!I392+ชลบุรี!I392+ชัยนาท!I392+ตราด!I392+นครนายก!I392+นครปฐม!I392+ปทุมธานี!I392+ประจวบคีรีขันธ์!I392+ปราจีนบุรี!I392+พระนครศรีอยุธยา!I392+เพชรบุรี!I392+ระยอง!I392+ราชบุรี!I392+ลพบุรี!I392+สระแก้ว!I392+สระบุรี!I392+สิงห์บุรี!I392+สุพรรณบุรี!I392+อ่างทอง!I392</f>
        <v>3650</v>
      </c>
      <c r="J392" s="265">
        <f>กาญจนบุรี!J392+จันทบุรี!J392+ฉะเชิงเทรา!J392+ชลบุรี!J392+ชัยนาท!J392+ตราด!J392+นครนายก!J392+นครปฐม!J392+ปทุมธานี!J392+ประจวบคีรีขันธ์!J392+ปราจีนบุรี!J392+พระนครศรีอยุธยา!J392+เพชรบุรี!J392+ระยอง!J392+ราชบุรี!J392+ลพบุรี!J392+สระแก้ว!J392+สระบุรี!J392+สิงห์บุรี!J392+สุพรรณบุรี!J392+อ่างทอง!J392</f>
        <v>12</v>
      </c>
      <c r="K392" s="284">
        <f t="shared" ca="1" si="37"/>
        <v>0.32876712328767121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>กาญจนบุรี!J393+จันทบุรี!J393+ฉะเชิงเทรา!J393+ชลบุรี!J393+ชัยนาท!J393+ตราด!J393+นครนายก!J393+นครปฐม!J393+ปทุมธานี!J393+ประจวบคีรีขันธ์!J393+ปราจีนบุรี!J393+พระนครศรีอยุธยา!J393+เพชรบุรี!J393+ระยอง!J393+ราชบุรี!J393+ลพบุรี!J393+สระแก้ว!J393+สระบุรี!J393+สิงห์บุรี!J393+สุพรรณบุรี!J393+อ่างทอง!J393</f>
        <v>201</v>
      </c>
      <c r="K393" s="232">
        <f t="shared" si="37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>กาญจนบุรี!J394+จันทบุรี!J394+ฉะเชิงเทรา!J394+ชลบุรี!J394+ชัยนาท!J394+ตราด!J394+นครนายก!J394+นครปฐม!J394+ปทุมธานี!J394+ประจวบคีรีขันธ์!J394+ปราจีนบุรี!J394+พระนครศรีอยุธยา!J394+เพชรบุรี!J394+ระยอง!J394+ราชบุรี!J394+ลพบุรี!J394+สระแก้ว!J394+สระบุรี!J394+สิงห์บุรี!J394+สุพรรณบุรี!J394+อ่างทอง!J394</f>
        <v>12</v>
      </c>
      <c r="K394" s="232">
        <f t="shared" si="37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f>กาญจนบุรี!J395+จันทบุรี!J395+ฉะเชิงเทรา!J395+ชลบุรี!J395+ชัยนาท!J395+ตราด!J395+นครนายก!J395+นครปฐม!J395+ปทุมธานี!J395+ประจวบคีรีขันธ์!J395+ปราจีนบุรี!J395+พระนครศรีอยุธยา!J395+เพชรบุรี!J395+ระยอง!J395+ราชบุรี!J395+ลพบุรี!J395+สระแก้ว!J395+สระบุรี!J395+สิงห์บุรี!J395+สุพรรณบุรี!J395+อ่างทอง!J395</f>
        <v>201</v>
      </c>
      <c r="K395" s="232">
        <f t="shared" si="37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f>กาญจนบุรี!J396+จันทบุรี!J396+ฉะเชิงเทรา!J396+ชลบุรี!J396+ชัยนาท!J396+ตราด!J396+นครนายก!J396+นครปฐม!J396+ปทุมธานี!J396+ประจวบคีรีขันธ์!J396+ปราจีนบุรี!J396+พระนครศรีอยุธยา!J396+เพชรบุรี!J396+ระยอง!J396+ราชบุรี!J396+ลพบุรี!J396+สระแก้ว!J396+สระบุรี!J396+สิงห์บุรี!J396+สุพรรณบุรี!J396+อ่างทอง!J396</f>
        <v>12</v>
      </c>
      <c r="K396" s="232">
        <f t="shared" si="37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f>กาญจนบุรี!J397+จันทบุรี!J397+ฉะเชิงเทรา!J397+ชลบุรี!J397+ชัยนาท!J397+ตราด!J397+นครนายก!J397+นครปฐม!J397+ปทุมธานี!J397+ประจวบคีรีขันธ์!J397+ปราจีนบุรี!J397+พระนครศรีอยุธยา!J397+เพชรบุรี!J397+ระยอง!J397+ราชบุรี!J397+ลพบุรี!J397+สระแก้ว!J397+สระบุรี!J397+สิงห์บุรี!J397+สุพรรณบุรี!J397+อ่างทอง!J397</f>
        <v>0</v>
      </c>
      <c r="K397" s="232">
        <f t="shared" si="37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f>กาญจนบุรี!J398+จันทบุรี!J398+ฉะเชิงเทรา!J398+ชลบุรี!J398+ชัยนาท!J398+ตราด!J398+นครนายก!J398+นครปฐม!J398+ปทุมธานี!J398+ประจวบคีรีขันธ์!J398+ปราจีนบุรี!J398+พระนครศรีอยุธยา!J398+เพชรบุรี!J398+ระยอง!J398+ราชบุรี!J398+ลพบุรี!J398+สระแก้ว!J398+สระบุรี!J398+สิงห์บุรี!J398+สุพรรณบุรี!J398+อ่างทอง!J398</f>
        <v>0</v>
      </c>
      <c r="K398" s="232">
        <f t="shared" si="37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f>กาญจนบุรี!J399+จันทบุรี!J399+ฉะเชิงเทรา!J399+ชลบุรี!J399+ชัยนาท!J399+ตราด!J399+นครนายก!J399+นครปฐม!J399+ปทุมธานี!J399+ประจวบคีรีขันธ์!J399+ปราจีนบุรี!J399+พระนครศรีอยุธยา!J399+เพชรบุรี!J399+ระยอง!J399+ราชบุรี!J399+ลพบุรี!J399+สระแก้ว!J399+สระบุรี!J399+สิงห์บุรี!J399+สุพรรณบุรี!J399+อ่างทอง!J399</f>
        <v>0</v>
      </c>
      <c r="K399" s="232">
        <f t="shared" si="37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f>กาญจนบุรี!J400+จันทบุรี!J400+ฉะเชิงเทรา!J400+ชลบุรี!J400+ชัยนาท!J400+ตราด!J400+นครนายก!J400+นครปฐม!J400+ปทุมธานี!J400+ประจวบคีรีขันธ์!J400+ปราจีนบุรี!J400+พระนครศรีอยุธยา!J400+เพชรบุรี!J400+ระยอง!J400+ราชบุรี!J400+ลพบุรี!J400+สระแก้ว!J400+สระบุรี!J400+สิงห์บุรี!J400+สุพรรณบุรี!J400+อ่างทอง!J400</f>
        <v>0</v>
      </c>
      <c r="K400" s="232">
        <f t="shared" si="37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285"/>
      <c r="G401" s="266"/>
      <c r="H401" s="267" t="s">
        <v>103</v>
      </c>
      <c r="I401" s="47">
        <v>0</v>
      </c>
      <c r="J401" s="47">
        <f>กาญจนบุรี!J401+จันทบุรี!J401+ฉะเชิงเทรา!J401+ชลบุรี!J401+ชัยนาท!J401+ตราด!J401+นครนายก!J401+นครปฐม!J401+ปทุมธานี!J401+ประจวบคีรีขันธ์!J401+ปราจีนบุรี!J401+พระนครศรีอยุธยา!J401+เพชรบุรี!J401+ระยอง!J401+ราชบุรี!J401+ลพบุรี!J401+สระแก้ว!J401+สระบุรี!J401+สิงห์บุรี!J401+สุพรรณบุรี!J401+อ่างทอง!J401</f>
        <v>0</v>
      </c>
      <c r="K401" s="232">
        <f t="shared" si="37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>กาญจนบุรี!J402+จันทบุรี!J402+ฉะเชิงเทรา!J402+ชลบุรี!J402+ชัยนาท!J402+ตราด!J402+นครนายก!J402+นครปฐม!J402+ปทุมธานี!J402+ประจวบคีรีขันธ์!J402+ปราจีนบุรี!J402+พระนครศรีอยุธยา!J402+เพชรบุรี!J402+ระยอง!J402+ราชบุรี!J402+ลพบุรี!J402+สระแก้ว!J402+สระบุรี!J402+สิงห์บุรี!J402+สุพรรณบุรี!J402+อ่างทอง!J402</f>
        <v>0</v>
      </c>
      <c r="K402" s="232">
        <f t="shared" si="37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f>กาญจนบุรี!J403+จันทบุรี!J403+ฉะเชิงเทรา!J403+ชลบุรี!J403+ชัยนาท!J403+ตราด!J403+นครนายก!J403+นครปฐม!J403+ปทุมธานี!J403+ประจวบคีรีขันธ์!J403+ปราจีนบุรี!J403+พระนครศรีอยุธยา!J403+เพชรบุรี!J403+ระยอง!J403+ราชบุรี!J403+ลพบุรี!J403+สระแก้ว!J403+สระบุรี!J403+สิงห์บุรี!J403+สุพรรณบุรี!J403+อ่างทอง!J403</f>
        <v>0</v>
      </c>
      <c r="K403" s="232">
        <f t="shared" si="37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f>กาญจนบุรี!J404+จันทบุรี!J404+ฉะเชิงเทรา!J404+ชลบุรี!J404+ชัยนาท!J404+ตราด!J404+นครนายก!J404+นครปฐม!J404+ปทุมธานี!J404+ประจวบคีรีขันธ์!J404+ปราจีนบุรี!J404+พระนครศรีอยุธยา!J404+เพชรบุรี!J404+ระยอง!J404+ราชบุรี!J404+ลพบุรี!J404+สระแก้ว!J404+สระบุรี!J404+สิงห์บุรี!J404+สุพรรณบุรี!J404+อ่างทอง!J404</f>
        <v>0</v>
      </c>
      <c r="K404" s="232">
        <f t="shared" si="37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f>กาญจนบุรี!J405+จันทบุรี!J405+ฉะเชิงเทรา!J405+ชลบุรี!J405+ชัยนาท!J405+ตราด!J405+นครนายก!J405+นครปฐม!J405+ปทุมธานี!J405+ประจวบคีรีขันธ์!J405+ปราจีนบุรี!J405+พระนครศรีอยุธยา!J405+เพชรบุรี!J405+ระยอง!J405+ราชบุรี!J405+ลพบุรี!J405+สระแก้ว!J405+สระบุรี!J405+สิงห์บุรี!J405+สุพรรณบุรี!J405+อ่างทอง!J405</f>
        <v>0</v>
      </c>
      <c r="K405" s="232">
        <f t="shared" si="37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f>กาญจนบุรี!J406+จันทบุรี!J406+ฉะเชิงเทรา!J406+ชลบุรี!J406+ชัยนาท!J406+ตราด!J406+นครนายก!J406+นครปฐม!J406+ปทุมธานี!J406+ประจวบคีรีขันธ์!J406+ปราจีนบุรี!J406+พระนครศรีอยุธยา!J406+เพชรบุรี!J406+ระยอง!J406+ราชบุรี!J406+ลพบุรี!J406+สระแก้ว!J406+สระบุรี!J406+สิงห์บุรี!J406+สุพรรณบุรี!J406+อ่างทอง!J406</f>
        <v>0</v>
      </c>
      <c r="K406" s="232">
        <f t="shared" si="37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f>กาญจนบุรี!J407+จันทบุรี!J407+ฉะเชิงเทรา!J407+ชลบุรี!J407+ชัยนาท!J407+ตราด!J407+นครนายก!J407+นครปฐม!J407+ปทุมธานี!J407+ประจวบคีรีขันธ์!J407+ปราจีนบุรี!J407+พระนครศรีอยุธยา!J407+เพชรบุรี!J407+ระยอง!J407+ราชบุรี!J407+ลพบุรี!J407+สระแก้ว!J407+สระบุรี!J407+สิงห์บุรี!J407+สุพรรณบุรี!J407+อ่างทอง!J407</f>
        <v>0</v>
      </c>
      <c r="K407" s="232">
        <f t="shared" si="37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f>กาญจนบุรี!J408+จันทบุรี!J408+ฉะเชิงเทรา!J408+ชลบุรี!J408+ชัยนาท!J408+ตราด!J408+นครนายก!J408+นครปฐม!J408+ปทุมธานี!J408+ประจวบคีรีขันธ์!J408+ปราจีนบุรี!J408+พระนครศรีอยุธยา!J408+เพชรบุรี!J408+ระยอง!J408+ราชบุรี!J408+ลพบุรี!J408+สระแก้ว!J408+สระบุรี!J408+สิงห์บุรี!J408+สุพรรณบุรี!J408+อ่างทอง!J408</f>
        <v>0</v>
      </c>
      <c r="K408" s="232">
        <f t="shared" si="37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กาญจนบุรี!I409+จันทบุรี!I409+ฉะเชิงเทรา!I409+ชลบุรี!I409+ชัยนาท!I409+ตราด!I409+นครนายก!I409+นครปฐม!I409+ปทุมธานี!I409+ประจวบคีรีขันธ์!I409+ปราจีนบุรี!I409+พระนครศรีอยุธยา!I409+เพชรบุรี!I409+ระยอง!I409+ราชบุรี!I409+ลพบุรี!I409+สระแก้ว!I409+สระบุรี!I409+สิงห์บุรี!I409+สุพรรณบุรี!I409+อ่างทอง!I409</f>
        <v>0</v>
      </c>
      <c r="J409" s="136">
        <f>กาญจนบุรี!J409+จันทบุรี!J409+ฉะเชิงเทรา!J409+ชลบุรี!J409+ชัยนาท!J409+ตราด!J409+นครนายก!J409+นครปฐม!J409+ปทุมธานี!J409+ประจวบคีรีขันธ์!J409+ปราจีนบุรี!J409+พระนครศรีอยุธยา!J409+เพชรบุรี!J409+ระยอง!J409+ราชบุรี!J409+ลพบุรี!J409+สระแก้ว!J409+สระบุรี!J409+สิงห์บุรี!J409+สุพรรณบุรี!J409+อ่างทอง!J409</f>
        <v>0</v>
      </c>
      <c r="K409" s="137">
        <f t="shared" ca="1" si="37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กาญจนบุรี!I410+จันทบุรี!I410+ฉะเชิงเทรา!I410+ชลบุรี!I410+ชัยนาท!I410+ตราด!I410+นครนายก!I410+นครปฐม!I410+ปทุมธานี!I410+ประจวบคีรีขันธ์!I410+ปราจีนบุรี!I410+พระนครศรีอยุธยา!I410+เพชรบุรี!I410+ระยอง!I410+ราชบุรี!I410+ลพบุรี!I410+สระแก้ว!I410+สระบุรี!I410+สิงห์บุรี!I410+สุพรรณบุรี!I410+อ่างทอง!I410</f>
        <v>0</v>
      </c>
      <c r="J410" s="149">
        <f>กาญจนบุรี!J410+จันทบุรี!J410+ฉะเชิงเทรา!J410+ชลบุรี!J410+ชัยนาท!J410+ตราด!J410+นครนายก!J410+นครปฐม!J410+ปทุมธานี!J410+ประจวบคีรีขันธ์!J410+ปราจีนบุรี!J410+พระนครศรีอยุธยา!J410+เพชรบุรี!J410+ระยอง!J410+ราชบุรี!J410+ลพบุรี!J410+สระแก้ว!J410+สระบุรี!J410+สิงห์บุรี!J410+สุพรรณบุรี!J410+อ่างทอง!J410</f>
        <v>0</v>
      </c>
      <c r="K410" s="146">
        <f t="shared" ca="1" si="37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กาญจนบุรี!I411+จันทบุรี!I411+ฉะเชิงเทรา!I411+ชลบุรี!I411+ชัยนาท!I411+ตราด!I411+นครนายก!I411+นครปฐม!I411+ปทุมธานี!I411+ประจวบคีรีขันธ์!I411+ปราจีนบุรี!I411+พระนครศรีอยุธยา!I411+เพชรบุรี!I411+ระยอง!I411+ราชบุรี!I411+ลพบุรี!I411+สระแก้ว!I411+สระบุรี!I411+สิงห์บุรี!I411+สุพรรณบุรี!I411+อ่างทอง!I411</f>
        <v>0</v>
      </c>
      <c r="J411" s="149">
        <f>กาญจนบุรี!J411+จันทบุรี!J411+ฉะเชิงเทรา!J411+ชลบุรี!J411+ชัยนาท!J411+ตราด!J411+นครนายก!J411+นครปฐม!J411+ปทุมธานี!J411+ประจวบคีรีขันธ์!J411+ปราจีนบุรี!J411+พระนครศรีอยุธยา!J411+เพชรบุรี!J411+ระยอง!J411+ราชบุรี!J411+ลพบุรี!J411+สระแก้ว!J411+สระบุรี!J411+สิงห์บุรี!J411+สุพรรณบุรี!J411+อ่างทอง!J411</f>
        <v>0</v>
      </c>
      <c r="K411" s="146">
        <f t="shared" ca="1" si="37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7">
        <f ca="1">กาญจนบุรี!J412+จันทบุรี!J412+ฉะเชิงเทรา!J412+ชลบุรี!J412+ชัยนาท!J412+ตราด!J412+นครนายก!J412+นครปฐม!J412+ปทุมธานี!J412+ประจวบคีรีขันธ์!J412+ปราจีนบุรี!J412+พระนครศรีอยุธยา!J412+เพชรบุรี!J412+ระยอง!J412+ราชบุรี!J412+ลพบุรี!J412+สระแก้ว!J412+สระบุรี!J412+สิงห์บุรี!J412+สุพรรณบุรี!J412+อ่างทอง!J412</f>
        <v>0</v>
      </c>
      <c r="K412" s="48">
        <f t="shared" si="37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7">
        <f ca="1">กาญจนบุรี!J413+จันทบุรี!J413+ฉะเชิงเทรา!J413+ชลบุรี!J413+ชัยนาท!J413+ตราด!J413+นครนายก!J413+นครปฐม!J413+ปทุมธานี!J413+ประจวบคีรีขันธ์!J413+ปราจีนบุรี!J413+พระนครศรีอยุธยา!J413+เพชรบุรี!J413+ระยอง!J413+ราชบุรี!J413+ลพบุรี!J413+สระแก้ว!J413+สระบุรี!J413+สิงห์บุรี!J413+สุพรรณบุรี!J413+อ่างทอง!J413</f>
        <v>0</v>
      </c>
      <c r="K413" s="48">
        <f t="shared" si="37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7">
        <f ca="1">กาญจนบุรี!J414+จันทบุรี!J414+ฉะเชิงเทรา!J414+ชลบุรี!J414+ชัยนาท!J414+ตราด!J414+นครนายก!J414+นครปฐม!J414+ปทุมธานี!J414+ประจวบคีรีขันธ์!J414+ปราจีนบุรี!J414+พระนครศรีอยุธยา!J414+เพชรบุรี!J414+ระยอง!J414+ราชบุรี!J414+ลพบุรี!J414+สระแก้ว!J414+สระบุรี!J414+สิงห์บุรี!J414+สุพรรณบุรี!J414+อ่างทอง!J414</f>
        <v>0</v>
      </c>
      <c r="K414" s="48">
        <f t="shared" si="37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7">
        <f ca="1">กาญจนบุรี!J415+จันทบุรี!J415+ฉะเชิงเทรา!J415+ชลบุรี!J415+ชัยนาท!J415+ตราด!J415+นครนายก!J415+นครปฐม!J415+ปทุมธานี!J415+ประจวบคีรีขันธ์!J415+ปราจีนบุรี!J415+พระนครศรีอยุธยา!J415+เพชรบุรี!J415+ระยอง!J415+ราชบุรี!J415+ลพบุรี!J415+สระแก้ว!J415+สระบุรี!J415+สิงห์บุรี!J415+สุพรรณบุรี!J415+อ่างทอง!J415</f>
        <v>0</v>
      </c>
      <c r="K415" s="48">
        <f t="shared" si="37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7">
        <f ca="1">กาญจนบุรี!J416+จันทบุรี!J416+ฉะเชิงเทรา!J416+ชลบุรี!J416+ชัยนาท!J416+ตราด!J416+นครนายก!J416+นครปฐม!J416+ปทุมธานี!J416+ประจวบคีรีขันธ์!J416+ปราจีนบุรี!J416+พระนครศรีอยุธยา!J416+เพชรบุรี!J416+ระยอง!J416+ราชบุรี!J416+ลพบุรี!J416+สระแก้ว!J416+สระบุรี!J416+สิงห์บุรี!J416+สุพรรณบุรี!J416+อ่างทอง!J416</f>
        <v>0</v>
      </c>
      <c r="K416" s="48">
        <f t="shared" si="37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7">
        <f ca="1">กาญจนบุรี!J417+จันทบุรี!J417+ฉะเชิงเทรา!J417+ชลบุรี!J417+ชัยนาท!J417+ตราด!J417+นครนายก!J417+นครปฐม!J417+ปทุมธานี!J417+ประจวบคีรีขันธ์!J417+ปราจีนบุรี!J417+พระนครศรีอยุธยา!J417+เพชรบุรี!J417+ระยอง!J417+ราชบุรี!J417+ลพบุรี!J417+สระแก้ว!J417+สระบุรี!J417+สิงห์บุรี!J417+สุพรรณบุรี!J417+อ่างทอง!J417</f>
        <v>0</v>
      </c>
      <c r="K417" s="48">
        <f t="shared" si="37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ca="1">กาญจนบุรี!I418+จันทบุรี!I418+ฉะเชิงเทรา!I418+ชลบุรี!I418+ชัยนาท!I418+ตราด!I418+นครนายก!I418+นครปฐม!I418+ปทุมธานี!I418+ประจวบคีรีขันธ์!I418+ปราจีนบุรี!I418+พระนครศรีอยุธยา!I418+เพชรบุรี!I418+ระยอง!I418+ราชบุรี!I418+ลพบุรี!I418+สระแก้ว!I418+สระบุรี!I418+สิงห์บุรี!I418+สุพรรณบุรี!I418+อ่างทอง!I418</f>
        <v>0</v>
      </c>
      <c r="J418" s="149">
        <f>กาญจนบุรี!J418+จันทบุรี!J418+ฉะเชิงเทรา!J418+ชลบุรี!J418+ชัยนาท!J418+ตราด!J418+นครนายก!J418+นครปฐม!J418+ปทุมธานี!J418+ประจวบคีรีขันธ์!J418+ปราจีนบุรี!J418+พระนครศรีอยุธยา!J418+เพชรบุรี!J418+ระยอง!J418+ราชบุรี!J418+ลพบุรี!J418+สระแก้ว!J418+สระบุรี!J418+สิงห์บุรี!J418+สุพรรณบุรี!J418+อ่างทอง!J418</f>
        <v>0</v>
      </c>
      <c r="K418" s="146">
        <f t="shared" ca="1" si="37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ca="1">กาญจนบุรี!I419+จันทบุรี!I419+ฉะเชิงเทรา!I419+ชลบุรี!I419+ชัยนาท!I419+ตราด!I419+นครนายก!I419+นครปฐม!I419+ปทุมธานี!I419+ประจวบคีรีขันธ์!I419+ปราจีนบุรี!I419+พระนครศรีอยุธยา!I419+เพชรบุรี!I419+ระยอง!I419+ราชบุรี!I419+ลพบุรี!I419+สระแก้ว!I419+สระบุรี!I419+สิงห์บุรี!I419+สุพรรณบุรี!I419+อ่างทอง!I419</f>
        <v>0</v>
      </c>
      <c r="J419" s="149">
        <f>กาญจนบุรี!J419+จันทบุรี!J419+ฉะเชิงเทรา!J419+ชลบุรี!J419+ชัยนาท!J419+ตราด!J419+นครนายก!J419+นครปฐม!J419+ปทุมธานี!J419+ประจวบคีรีขันธ์!J419+ปราจีนบุรี!J419+พระนครศรีอยุธยา!J419+เพชรบุรี!J419+ระยอง!J419+ราชบุรี!J419+ลพบุรี!J419+สระแก้ว!J419+สระบุรี!J419+สิงห์บุรี!J419+สุพรรณบุรี!J419+อ่างทอง!J419</f>
        <v>0</v>
      </c>
      <c r="K419" s="146">
        <f t="shared" ca="1" si="37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f>กาญจนบุรี!J420+จันทบุรี!J420+ฉะเชิงเทรา!J420+ชลบุรี!J420+ชัยนาท!J420+ตราด!J420+นครนายก!J420+นครปฐม!J420+ปทุมธานี!J420+ประจวบคีรีขันธ์!J420+ปราจีนบุรี!J420+พระนครศรีอยุธยา!J420+เพชรบุรี!J420+ระยอง!J420+ราชบุรี!J420+ลพบุรี!J420+สระแก้ว!J420+สระบุรี!J420+สิงห์บุรี!J420+สุพรรณบุรี!J420+อ่างทอง!J420</f>
        <v>0</v>
      </c>
      <c r="K420" s="48">
        <f t="shared" si="37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f>กาญจนบุรี!J421+จันทบุรี!J421+ฉะเชิงเทรา!J421+ชลบุรี!J421+ชัยนาท!J421+ตราด!J421+นครนายก!J421+นครปฐม!J421+ปทุมธานี!J421+ประจวบคีรีขันธ์!J421+ปราจีนบุรี!J421+พระนครศรีอยุธยา!J421+เพชรบุรี!J421+ระยอง!J421+ราชบุรี!J421+ลพบุรี!J421+สระแก้ว!J421+สระบุรี!J421+สิงห์บุรี!J421+สุพรรณบุรี!J421+อ่างทอง!J421</f>
        <v>0</v>
      </c>
      <c r="K421" s="48">
        <f t="shared" si="37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f>กาญจนบุรี!J422+จันทบุรี!J422+ฉะเชิงเทรา!J422+ชลบุรี!J422+ชัยนาท!J422+ตราด!J422+นครนายก!J422+นครปฐม!J422+ปทุมธานี!J422+ประจวบคีรีขันธ์!J422+ปราจีนบุรี!J422+พระนครศรีอยุธยา!J422+เพชรบุรี!J422+ระยอง!J422+ราชบุรี!J422+ลพบุรี!J422+สระแก้ว!J422+สระบุรี!J422+สิงห์บุรี!J422+สุพรรณบุรี!J422+อ่างทอง!J422</f>
        <v>0</v>
      </c>
      <c r="K422" s="48">
        <f t="shared" si="37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f>กาญจนบุรี!J423+จันทบุรี!J423+ฉะเชิงเทรา!J423+ชลบุรี!J423+ชัยนาท!J423+ตราด!J423+นครนายก!J423+นครปฐม!J423+ปทุมธานี!J423+ประจวบคีรีขันธ์!J423+ปราจีนบุรี!J423+พระนครศรีอยุธยา!J423+เพชรบุรี!J423+ระยอง!J423+ราชบุรี!J423+ลพบุรี!J423+สระแก้ว!J423+สระบุรี!J423+สิงห์บุรี!J423+สุพรรณบุรี!J423+อ่างทอง!J423</f>
        <v>0</v>
      </c>
      <c r="K423" s="48">
        <f t="shared" si="37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f>กาญจนบุรี!J424+จันทบุรี!J424+ฉะเชิงเทรา!J424+ชลบุรี!J424+ชัยนาท!J424+ตราด!J424+นครนายก!J424+นครปฐม!J424+ปทุมธานี!J424+ประจวบคีรีขันธ์!J424+ปราจีนบุรี!J424+พระนครศรีอยุธยา!J424+เพชรบุรี!J424+ระยอง!J424+ราชบุรี!J424+ลพบุรี!J424+สระแก้ว!J424+สระบุรี!J424+สิงห์บุรี!J424+สุพรรณบุรี!J424+อ่างทอง!J424</f>
        <v>0</v>
      </c>
      <c r="K424" s="48">
        <f t="shared" si="37"/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299">
        <v>0</v>
      </c>
      <c r="J425" s="300">
        <f>กาญจนบุรี!J425+จันทบุรี!J425+ฉะเชิงเทรา!J425+ชลบุรี!J425+ชัยนาท!J425+ตราด!J425+นครนายก!J425+นครปฐม!J425+ปทุมธานี!J425+ประจวบคีรีขันธ์!J425+ปราจีนบุรี!J425+พระนครศรีอยุธยา!J425+เพชรบุรี!J425+ระยอง!J425+ราชบุรี!J425+ลพบุรี!J425+สระแก้ว!J425+สระบุรี!J425+สิงห์บุรี!J425+สุพรรณบุรี!J425+อ่างทอง!J425</f>
        <v>0</v>
      </c>
      <c r="K425" s="301">
        <f t="shared" si="37"/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303">
        <f ca="1">กาญจนบุรี!I426+จันทบุรี!I426+ฉะเชิงเทรา!I426+ชลบุรี!I426+ชัยนาท!I426+ตราด!I426+นครนายก!I426+นครปฐม!I426+ปทุมธานี!I426+ประจวบคีรีขันธ์!I426+ปราจีนบุรี!I426+พระนครศรีอยุธยา!I426+เพชรบุรี!I426+ระยอง!I426+ราชบุรี!I426+ลพบุรี!I426+สระแก้ว!I426+สระบุรี!I426+สิงห์บุรี!I426+สุพรรณบุรี!I426+อ่างทอง!I426</f>
        <v>441</v>
      </c>
      <c r="J426" s="303">
        <f>กาญจนบุรี!J426+จันทบุรี!J426+ฉะเชิงเทรา!J426+ชลบุรี!J426+ชัยนาท!J426+ตราด!J426+นครนายก!J426+นครปฐม!J426+ปทุมธานี!J426+ประจวบคีรีขันธ์!J426+ปราจีนบุรี!J426+พระนครศรีอยุธยา!J426+เพชรบุรี!J426+ระยอง!J426+ราชบุรี!J426+ลพบุรี!J426+สระแก้ว!J426+สระบุรี!J426+สิงห์บุรี!J426+สุพรรณบุรี!J426+อ่างทอง!J426</f>
        <v>97</v>
      </c>
      <c r="K426" s="304">
        <f ca="1">IF(I426&gt;0,J426*100/I426,0)</f>
        <v>21.995464852607711</v>
      </c>
      <c r="L426" s="259">
        <f ca="1">กาญจนบุรี!L426+จันทบุรี!L426+ฉะเชิงเทรา!L426+ชลบุรี!L426+ชัยนาท!L426+ตราด!L426+นครนายก!L426+นครปฐม!L426+ปทุมธานี!L426+ประจวบคีรีขันธ์!L426+ปราจีนบุรี!L426+พระนครศรีอยุธยา!L426+เพชรบุรี!L426+ระยอง!L426+ราชบุรี!L426+ลพบุรี!L426+สระแก้ว!L426+สระบุรี!L426+สิงห์บุรี!L426+สุพรรณบุรี!L426+อ่างทอง!L426</f>
        <v>703290</v>
      </c>
      <c r="M426" s="259">
        <f>กาญจนบุรี!M426+จันทบุรี!M426+ฉะเชิงเทรา!M426+ชลบุรี!M426+ชัยนาท!M426+ตราด!M426+นครนายก!M426+นครปฐม!M426+ปทุมธานี!M426+ประจวบคีรีขันธ์!M426+ปราจีนบุรี!M426+พระนครศรีอยุธยา!M426+เพชรบุรี!M426+ระยอง!M426+ราชบุรี!M426+ลพบุรี!M426+สระแก้ว!M426+สระบุรี!M426+สิงห์บุรี!M426+สุพรรณบุรี!M426+อ่างทอง!M426</f>
        <v>86560.02</v>
      </c>
      <c r="N426" s="259">
        <f t="shared" ref="N426:N430" ca="1" si="38">+IF(L426&gt;0,M426*100/L426,0)</f>
        <v>12.307870153137397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f>กาญจนบุรี!L427+จันทบุรี!L427+ฉะเชิงเทรา!L427+ชลบุรี!L427+ชัยนาท!L427+ตราด!L427+นครนายก!L427+นครปฐม!L427+ปทุมธานี!L427+ประจวบคีรีขันธ์!L427+ปราจีนบุรี!L427+พระนครศรีอยุธยา!L427+เพชรบุรี!L427+ระยอง!L427+ราชบุรี!L427+ลพบุรี!L427+สระแก้ว!L427+สระบุรี!L427+สิงห์บุรี!L427+สุพรรณบุรี!L427+อ่างทอง!L427</f>
        <v>0</v>
      </c>
      <c r="M427" s="52">
        <f>กาญจนบุรี!M427+จันทบุรี!M427+ฉะเชิงเทรา!M427+ชลบุรี!M427+ชัยนาท!M427+ตราด!M427+นครนายก!M427+นครปฐม!M427+ปทุมธานี!M427+ประจวบคีรีขันธ์!M427+ปราจีนบุรี!M427+พระนครศรีอยุธยา!M427+เพชรบุรี!M427+ระยอง!M427+ราชบุรี!M427+ลพบุรี!M427+สระแก้ว!M427+สระบุรี!M427+สิงห์บุรี!M427+สุพรรณบุรี!M427+อ่างทอง!M427</f>
        <v>0</v>
      </c>
      <c r="N427" s="52">
        <f t="shared" si="38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ca="1">กาญจนบุรี!L428+จันทบุรี!L428+ฉะเชิงเทรา!L428+ชลบุรี!L428+ชัยนาท!L428+ตราด!L428+นครนายก!L428+นครปฐม!L428+ปทุมธานี!L428+ประจวบคีรีขันธ์!L428+ปราจีนบุรี!L428+พระนครศรีอยุธยา!L428+เพชรบุรี!L428+ระยอง!L428+ราชบุรี!L428+ลพบุรี!L428+สระแก้ว!L428+สระบุรี!L428+สิงห์บุรี!L428+สุพรรณบุรี!L428+อ่างทอง!L428</f>
        <v>703290</v>
      </c>
      <c r="M428" s="52">
        <f>กาญจนบุรี!M428+จันทบุรี!M428+ฉะเชิงเทรา!M428+ชลบุรี!M428+ชัยนาท!M428+ตราด!M428+นครนายก!M428+นครปฐม!M428+ปทุมธานี!M428+ประจวบคีรีขันธ์!M428+ปราจีนบุรี!M428+พระนครศรีอยุธยา!M428+เพชรบุรี!M428+ระยอง!M428+ราชบุรี!M428+ลพบุรี!M428+สระแก้ว!M428+สระบุรี!M428+สิงห์บุรี!M428+สุพรรณบุรี!M428+อ่างทอง!M428</f>
        <v>86560.02</v>
      </c>
      <c r="N428" s="52">
        <f t="shared" ca="1" si="38"/>
        <v>12.307870153137397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กาญจนบุรี!L429+จันทบุรี!L429+ฉะเชิงเทรา!L429+ชลบุรี!L429+ชัยนาท!L429+ตราด!L429+นครนายก!L429+นครปฐม!L429+ปทุมธานี!L429+ประจวบคีรีขันธ์!L429+ปราจีนบุรี!L429+พระนครศรีอยุธยา!L429+เพชรบุรี!L429+ระยอง!L429+ราชบุรี!L429+ลพบุรี!L429+สระแก้ว!L429+สระบุรี!L429+สิงห์บุรี!L429+สุพรรณบุรี!L429+อ่างทอง!L429</f>
        <v>0</v>
      </c>
      <c r="M429" s="52">
        <f>กาญจนบุรี!M429+จันทบุรี!M429+ฉะเชิงเทรา!M429+ชลบุรี!M429+ชัยนาท!M429+ตราด!M429+นครนายก!M429+นครปฐม!M429+ปทุมธานี!M429+ประจวบคีรีขันธ์!M429+ปราจีนบุรี!M429+พระนครศรีอยุธยา!M429+เพชรบุรี!M429+ระยอง!M429+ราชบุรี!M429+ลพบุรี!M429+สระแก้ว!M429+สระบุรี!M429+สิงห์บุรี!M429+สุพรรณบุรี!M429+อ่างทอง!M429</f>
        <v>0</v>
      </c>
      <c r="N429" s="52">
        <f t="shared" ca="1" si="38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กาญจนบุรี!L430+จันทบุรี!L430+ฉะเชิงเทรา!L430+ชลบุรี!L430+ชัยนาท!L430+ตราด!L430+นครนายก!L430+นครปฐม!L430+ปทุมธานี!L430+ประจวบคีรีขันธ์!L430+ปราจีนบุรี!L430+พระนครศรีอยุธยา!L430+เพชรบุรี!L430+ระยอง!L430+ราชบุรี!L430+ลพบุรี!L430+สระแก้ว!L430+สระบุรี!L430+สิงห์บุรี!L430+สุพรรณบุรี!L430+อ่างทอง!L430</f>
        <v>703290</v>
      </c>
      <c r="M430" s="52">
        <f>กาญจนบุรี!M430+จันทบุรี!M430+ฉะเชิงเทรา!M430+ชลบุรี!M430+ชัยนาท!M430+ตราด!M430+นครนายก!M430+นครปฐม!M430+ปทุมธานี!M430+ประจวบคีรีขันธ์!M430+ปราจีนบุรี!M430+พระนครศรีอยุธยา!M430+เพชรบุรี!M430+ระยอง!M430+ราชบุรี!M430+ลพบุรี!M430+สระแก้ว!M430+สระบุรี!M430+สิงห์บุรี!M430+สุพรรณบุรี!M430+อ่างทอง!M430</f>
        <v>86560.02</v>
      </c>
      <c r="N430" s="52">
        <f t="shared" ca="1" si="38"/>
        <v>12.307870153137397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f>กาญจนบุรี!M431+จันทบุรี!M431+ฉะเชิงเทรา!M431+ชลบุรี!M431+ชัยนาท!M431+ตราด!M431+นครนายก!M431+นครปฐม!M431+ปทุมธานี!M431+ประจวบคีรีขันธ์!M431+ปราจีนบุรี!M431+พระนครศรีอยุธยา!M431+เพชรบุรี!M431+ระยอง!M431+ราชบุรี!M431+ลพบุรี!M431+สระแก้ว!M431+สระบุรี!M431+สิงห์บุรี!M431+สุพรรณบุรี!M431+อ่างทอง!M431</f>
        <v>74153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f>กาญจนบุรี!M432+จันทบุรี!M432+ฉะเชิงเทรา!M432+ชลบุรี!M432+ชัยนาท!M432+ตราด!M432+นครนายก!M432+นครปฐม!M432+ปทุมธานี!M432+ประจวบคีรีขันธ์!M432+ปราจีนบุรี!M432+พระนครศรีอยุธยา!M432+เพชรบุรี!M432+ระยอง!M432+ราชบุรี!M432+ลพบุรี!M432+สระแก้ว!M432+สระบุรี!M432+สิงห์บุรี!M432+สุพรรณบุรี!M432+อ่างทอง!M432</f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f>กาญจนบุรี!M433+จันทบุรี!M433+ฉะเชิงเทรา!M433+ชลบุรี!M433+ชัยนาท!M433+ตราด!M433+นครนายก!M433+นครปฐม!M433+ปทุมธานี!M433+ประจวบคีรีขันธ์!M433+ปราจีนบุรี!M433+พระนครศรีอยุธยา!M433+เพชรบุรี!M433+ระยอง!M433+ราชบุรี!M433+ลพบุรี!M433+สระแก้ว!M433+สระบุรี!M433+สิงห์บุรี!M433+สุพรรณบุรี!M433+อ่างทอง!M433</f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f>กาญจนบุรี!M434+จันทบุรี!M434+ฉะเชิงเทรา!M434+ชลบุรี!M434+ชัยนาท!M434+ตราด!M434+นครนายก!M434+นครปฐม!M434+ปทุมธานี!M434+ประจวบคีรีขันธ์!M434+ปราจีนบุรี!M434+พระนครศรีอยุธยา!M434+เพชรบุรี!M434+ระยอง!M434+ราชบุรี!M434+ลพบุรี!M434+สระแก้ว!M434+สระบุรี!M434+สิงห์บุรี!M434+สุพรรณบุรี!M434+อ่างทอง!M434</f>
        <v>12407.02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f>กาญจนบุรี!J436+จันทบุรี!J436+ฉะเชิงเทรา!J436+ชลบุรี!J436+ชัยนาท!J436+ตราด!J436+นครนายก!J436+นครปฐม!J436+ปทุมธานี!J436+ประจวบคีรีขันธ์!J436+ปราจีนบุรี!J436+พระนครศรีอยุธยา!J436+เพชรบุรี!J436+ระยอง!J436+ราชบุรี!J436+ลพบุรี!J436+สระแก้ว!J436+สระบุรี!J436+สิงห์บุรี!J436+สุพรรณบุรี!J436+อ่างทอง!J436</f>
        <v>2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f>กาญจนบุรี!J437+จันทบุรี!J437+ฉะเชิงเทรา!J437+ชลบุรี!J437+ชัยนาท!J437+ตราด!J437+นครนายก!J437+นครปฐม!J437+ปทุมธานี!J437+ประจวบคีรีขันธ์!J437+ปราจีนบุรี!J437+พระนครศรีอยุธยา!J437+เพชรบุรี!J437+ระยอง!J437+ราชบุรี!J437+ลพบุรี!J437+สระแก้ว!J437+สระบุรี!J437+สิงห์บุรี!J437+สุพรรณบุรี!J437+อ่างทอง!J437</f>
        <v>12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f>กาญจนบุรี!J438+จันทบุรี!J438+ฉะเชิงเทรา!J438+ชลบุรี!J438+ชัยนาท!J438+ตราด!J438+นครนายก!J438+นครปฐม!J438+ปทุมธานี!J438+ประจวบคีรีขันธ์!J438+ปราจีนบุรี!J438+พระนครศรีอยุธยา!J438+เพชรบุรี!J438+ระยอง!J438+ราชบุรี!J438+ลพบุรี!J438+สระแก้ว!J438+สระบุรี!J438+สิงห์บุรี!J438+สุพรรณบุรี!J438+อ่างทอง!J438</f>
        <v>10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f>กาญจนบุรี!J439+จันทบุรี!J439+ฉะเชิงเทรา!J439+ชลบุรี!J439+ชัยนาท!J439+ตราด!J439+นครนายก!J439+นครปฐม!J439+ปทุมธานี!J439+ประจวบคีรีขันธ์!J439+ปราจีนบุรี!J439+พระนครศรีอยุธยา!J439+เพชรบุรี!J439+ระยอง!J439+ราชบุรี!J439+ลพบุรี!J439+สระแก้ว!J439+สระบุรี!J439+สิงห์บุรี!J439+สุพรรณบุรี!J439+อ่างทอง!J439</f>
        <v>6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กาญจนบุรี!I440+จันทบุรี!I440+ฉะเชิงเทรา!I440+ชลบุรี!I440+ชัยนาท!I440+ตราด!I440+นครนายก!I440+นครปฐม!I440+ปทุมธานี!I440+ประจวบคีรีขันธ์!I440+ปราจีนบุรี!I440+พระนครศรีอยุธยา!I440+เพชรบุรี!I440+ระยอง!I440+ราชบุรี!I440+ลพบุรี!I440+สระแก้ว!I440+สระบุรี!I440+สิงห์บุรี!I440+สุพรรณบุรี!I440+อ่างทอง!I440</f>
        <v>441</v>
      </c>
      <c r="J440" s="67">
        <f>กาญจนบุรี!J440+จันทบุรี!J440+ฉะเชิงเทรา!J440+ชลบุรี!J440+ชัยนาท!J440+ตราด!J440+นครนายก!J440+นครปฐม!J440+ปทุมธานี!J440+ประจวบคีรีขันธ์!J440+ปราจีนบุรี!J440+พระนครศรีอยุธยา!J440+เพชรบุรี!J440+ระยอง!J440+ราชบุรี!J440+ลพบุรี!J440+สระแก้ว!J440+สระบุรี!J440+สิงห์บุรี!J440+สุพรรณบุรี!J440+อ่างทอง!J440</f>
        <v>97</v>
      </c>
      <c r="K440" s="48">
        <f t="shared" ref="K440:K441" ca="1" si="39">IF(I440&gt;0,J440*100/I440,0)</f>
        <v>21.995464852607711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กาญจนบุรี!I441+จันทบุรี!I441+ฉะเชิงเทรา!I441+ชลบุรี!I441+ชัยนาท!I441+ตราด!I441+นครนายก!I441+นครปฐม!I441+ปทุมธานี!I441+ประจวบคีรีขันธ์!I441+ปราจีนบุรี!I441+พระนครศรีอยุธยา!I441+เพชรบุรี!I441+ระยอง!I441+ราชบุรี!I441+ลพบุรี!I441+สระแก้ว!I441+สระบุรี!I441+สิงห์บุรี!I441+สุพรรณบุรี!I441+อ่างทอง!I441</f>
        <v>441</v>
      </c>
      <c r="J441" s="67">
        <f>กาญจนบุรี!J441+จันทบุรี!J441+ฉะเชิงเทรา!J441+ชลบุรี!J441+ชัยนาท!J441+ตราด!J441+นครนายก!J441+นครปฐม!J441+ปทุมธานี!J441+ประจวบคีรีขันธ์!J441+ปราจีนบุรี!J441+พระนครศรีอยุธยา!J441+เพชรบุรี!J441+ระยอง!J441+ราชบุรี!J441+ลพบุรี!J441+สระแก้ว!J441+สระบุรี!J441+สิงห์บุรี!J441+สุพรรณบุรี!J441+อ่างทอง!J441</f>
        <v>0</v>
      </c>
      <c r="K441" s="48">
        <f t="shared" ca="1" si="39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f>กาญจนบุรี!J442+จันทบุรี!J442+ฉะเชิงเทรา!J442+ชลบุรี!J442+ชัยนาท!J442+ตราด!J442+นครนายก!J442+นครปฐม!J442+ปทุมธานี!J442+ประจวบคีรีขันธ์!J442+ปราจีนบุรี!J442+พระนครศรีอยุธยา!J442+เพชรบุรี!J442+ระยอง!J442+ราชบุรี!J442+ลพบุรี!J442+สระแก้ว!J442+สระบุรี!J442+สิงห์บุรี!J442+สุพรรณบุรี!J442+อ่างทอง!J442</f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f>กาญจนบุรี!J443+จันทบุรี!J443+ฉะเชิงเทรา!J443+ชลบุรี!J443+ชัยนาท!J443+ตราด!J443+นครนายก!J443+นครปฐม!J443+ปทุมธานี!J443+ประจวบคีรีขันธ์!J443+ปราจีนบุรี!J443+พระนครศรีอยุธยา!J443+เพชรบุรี!J443+ระยอง!J443+ราชบุรี!J443+ลพบุรี!J443+สระแก้ว!J443+สระบุรี!J443+สิงห์บุรี!J443+สุพรรณบุรี!J443+อ่างทอง!J443</f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ca="1">กาญจนบุรี!I444+จันทบุรี!I444+ฉะเชิงเทรา!I444+ชลบุรี!I444+ชัยนาท!I444+ตราด!I444+นครนายก!I444+นครปฐม!I444+ปทุมธานี!I444+ประจวบคีรีขันธ์!I444+ปราจีนบุรี!I444+พระนครศรีอยุธยา!I444+เพชรบุรี!I444+ระยอง!I444+ราชบุรี!I444+ลพบุรี!I444+สระแก้ว!I444+สระบุรี!I444+สิงห์บุรี!I444+สุพรรณบุรี!I444+อ่างทอง!I444</f>
        <v>3000</v>
      </c>
      <c r="J444" s="257">
        <f>กาญจนบุรี!J444+จันทบุรี!J444+ฉะเชิงเทรา!J444+ชลบุรี!J444+ชัยนาท!J444+ตราด!J444+นครนายก!J444+นครปฐม!J444+ปทุมธานี!J444+ประจวบคีรีขันธ์!J444+ปราจีนบุรี!J444+พระนครศรีอยุธยา!J444+เพชรบุรี!J444+ระยอง!J444+ราชบุรี!J444+ลพบุรี!J444+สระแก้ว!J444+สระบุรี!J444+สิงห์บุรี!J444+สุพรรณบุรี!J444+อ่างทอง!J444</f>
        <v>0</v>
      </c>
      <c r="K444" s="258">
        <f ca="1">IF(I444&gt;0,J444*100/I444,0)</f>
        <v>0</v>
      </c>
      <c r="L444" s="259">
        <f ca="1">กาญจนบุรี!L444+จันทบุรี!L444+ฉะเชิงเทรา!L444+ชลบุรี!L444+ชัยนาท!L444+ตราด!L444+นครนายก!L444+นครปฐม!L444+ปทุมธานี!L444+ประจวบคีรีขันธ์!L444+ปราจีนบุรี!L444+พระนครศรีอยุธยา!L444+เพชรบุรี!L444+ระยอง!L444+ราชบุรี!L444+ลพบุรี!L444+สระแก้ว!L444+สระบุรี!L444+สิงห์บุรี!L444+สุพรรณบุรี!L444+อ่างทอง!L444</f>
        <v>198000</v>
      </c>
      <c r="M444" s="259">
        <f>กาญจนบุรี!M444+จันทบุรี!M444+ฉะเชิงเทรา!M444+ชลบุรี!M444+ชัยนาท!M444+ตราด!M444+นครนายก!M444+นครปฐม!M444+ปทุมธานี!M444+ประจวบคีรีขันธ์!M444+ปราจีนบุรี!M444+พระนครศรีอยุธยา!M444+เพชรบุรี!M444+ระยอง!M444+ราชบุรี!M444+ลพบุรี!M444+สระแก้ว!M444+สระบุรี!M444+สิงห์บุรี!M444+สุพรรณบุรี!M444+อ่างทอง!M444</f>
        <v>0</v>
      </c>
      <c r="N444" s="259">
        <f t="shared" ref="N444:N448" ca="1" si="40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f>กาญจนบุรี!L445+จันทบุรี!L445+ฉะเชิงเทรา!L445+ชลบุรี!L445+ชัยนาท!L445+ตราด!L445+นครนายก!L445+นครปฐม!L445+ปทุมธานี!L445+ประจวบคีรีขันธ์!L445+ปราจีนบุรี!L445+พระนครศรีอยุธยา!L445+เพชรบุรี!L445+ระยอง!L445+ราชบุรี!L445+ลพบุรี!L445+สระแก้ว!L445+สระบุรี!L445+สิงห์บุรี!L445+สุพรรณบุรี!L445+อ่างทอง!L445</f>
        <v>0</v>
      </c>
      <c r="M445" s="52">
        <f>กาญจนบุรี!M445+จันทบุรี!M445+ฉะเชิงเทรา!M445+ชลบุรี!M445+ชัยนาท!M445+ตราด!M445+นครนายก!M445+นครปฐม!M445+ปทุมธานี!M445+ประจวบคีรีขันธ์!M445+ปราจีนบุรี!M445+พระนครศรีอยุธยา!M445+เพชรบุรี!M445+ระยอง!M445+ราชบุรี!M445+ลพบุรี!M445+สระแก้ว!M445+สระบุรี!M445+สิงห์บุรี!M445+สุพรรณบุรี!M445+อ่างทอง!M445</f>
        <v>0</v>
      </c>
      <c r="N445" s="52">
        <f t="shared" si="40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ca="1">กาญจนบุรี!L446+จันทบุรี!L446+ฉะเชิงเทรา!L446+ชลบุรี!L446+ชัยนาท!L446+ตราด!L446+นครนายก!L446+นครปฐม!L446+ปทุมธานี!L446+ประจวบคีรีขันธ์!L446+ปราจีนบุรี!L446+พระนครศรีอยุธยา!L446+เพชรบุรี!L446+ระยอง!L446+ราชบุรี!L446+ลพบุรี!L446+สระแก้ว!L446+สระบุรี!L446+สิงห์บุรี!L446+สุพรรณบุรี!L446+อ่างทอง!L446</f>
        <v>198000</v>
      </c>
      <c r="M446" s="52">
        <f>กาญจนบุรี!M446+จันทบุรี!M446+ฉะเชิงเทรา!M446+ชลบุรี!M446+ชัยนาท!M446+ตราด!M446+นครนายก!M446+นครปฐม!M446+ปทุมธานี!M446+ประจวบคีรีขันธ์!M446+ปราจีนบุรี!M446+พระนครศรีอยุธยา!M446+เพชรบุรี!M446+ระยอง!M446+ราชบุรี!M446+ลพบุรี!M446+สระแก้ว!M446+สระบุรี!M446+สิงห์บุรี!M446+สุพรรณบุรี!M446+อ่างทอง!M446</f>
        <v>0</v>
      </c>
      <c r="N446" s="52">
        <f t="shared" ca="1" si="40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กาญจนบุรี!L447+จันทบุรี!L447+ฉะเชิงเทรา!L447+ชลบุรี!L447+ชัยนาท!L447+ตราด!L447+นครนายก!L447+นครปฐม!L447+ปทุมธานี!L447+ประจวบคีรีขันธ์!L447+ปราจีนบุรี!L447+พระนครศรีอยุธยา!L447+เพชรบุรี!L447+ระยอง!L447+ราชบุรี!L447+ลพบุรี!L447+สระแก้ว!L447+สระบุรี!L447+สิงห์บุรี!L447+สุพรรณบุรี!L447+อ่างทอง!L447</f>
        <v>0</v>
      </c>
      <c r="M447" s="52">
        <f>กาญจนบุรี!M447+จันทบุรี!M447+ฉะเชิงเทรา!M447+ชลบุรี!M447+ชัยนาท!M447+ตราด!M447+นครนายก!M447+นครปฐม!M447+ปทุมธานี!M447+ประจวบคีรีขันธ์!M447+ปราจีนบุรี!M447+พระนครศรีอยุธยา!M447+เพชรบุรี!M447+ระยอง!M447+ราชบุรี!M447+ลพบุรี!M447+สระแก้ว!M447+สระบุรี!M447+สิงห์บุรี!M447+สุพรรณบุรี!M447+อ่างทอง!M447</f>
        <v>0</v>
      </c>
      <c r="N447" s="52">
        <f t="shared" ca="1" si="40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กาญจนบุรี!L448+จันทบุรี!L448+ฉะเชิงเทรา!L448+ชลบุรี!L448+ชัยนาท!L448+ตราด!L448+นครนายก!L448+นครปฐม!L448+ปทุมธานี!L448+ประจวบคีรีขันธ์!L448+ปราจีนบุรี!L448+พระนครศรีอยุธยา!L448+เพชรบุรี!L448+ระยอง!L448+ราชบุรี!L448+ลพบุรี!L448+สระแก้ว!L448+สระบุรี!L448+สิงห์บุรี!L448+สุพรรณบุรี!L448+อ่างทอง!L448</f>
        <v>198000</v>
      </c>
      <c r="M448" s="52">
        <f>กาญจนบุรี!M448+จันทบุรี!M448+ฉะเชิงเทรา!M448+ชลบุรี!M448+ชัยนาท!M448+ตราด!M448+นครนายก!M448+นครปฐม!M448+ปทุมธานี!M448+ประจวบคีรีขันธ์!M448+ปราจีนบุรี!M448+พระนครศรีอยุธยา!M448+เพชรบุรี!M448+ระยอง!M448+ราชบุรี!M448+ลพบุรี!M448+สระแก้ว!M448+สระบุรี!M448+สิงห์บุรี!M448+สุพรรณบุรี!M448+อ่างทอง!M448</f>
        <v>0</v>
      </c>
      <c r="N448" s="52">
        <f t="shared" ca="1" si="40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3">
        <f>กาญจนบุรี!M449+จันทบุรี!M449+ฉะเชิงเทรา!M449+ชลบุรี!M449+ชัยนาท!M449+ตราด!M449+นครนายก!M449+นครปฐม!M449+ปทุมธานี!M449+ประจวบคีรีขันธ์!M449+ปราจีนบุรี!M449+พระนครศรีอยุธยา!M449+เพชรบุรี!M449+ระยอง!M449+ราชบุรี!M449+ลพบุรี!M449+สระแก้ว!M449+สระบุรี!M449+สิงห์บุรี!M449+สุพรรณบุรี!M449+อ่างทอง!M449</f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3">
        <f>กาญจนบุรี!M450+จันทบุรี!M450+ฉะเชิงเทรา!M450+ชลบุรี!M450+ชัยนาท!M450+ตราด!M450+นครนายก!M450+นครปฐม!M450+ปทุมธานี!M450+ประจวบคีรีขันธ์!M450+ปราจีนบุรี!M450+พระนครศรีอยุธยา!M450+เพชรบุรี!M450+ระยอง!M450+ราชบุรี!M450+ลพบุรี!M450+สระแก้ว!M450+สระบุรี!M450+สิงห์บุรี!M450+สุพรรณบุรี!M450+อ่างทอง!M450</f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3">
        <f>กาญจนบุรี!M451+จันทบุรี!M451+ฉะเชิงเทรา!M451+ชลบุรี!M451+ชัยนาท!M451+ตราด!M451+นครนายก!M451+นครปฐม!M451+ปทุมธานี!M451+ประจวบคีรีขันธ์!M451+ปราจีนบุรี!M451+พระนครศรีอยุธยา!M451+เพชรบุรี!M451+ระยอง!M451+ราชบุรี!M451+ลพบุรี!M451+สระแก้ว!M451+สระบุรี!M451+สิงห์บุรี!M451+สุพรรณบุรี!M451+อ่างทอง!M451</f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3">
        <f>กาญจนบุรี!M452+จันทบุรี!M452+ฉะเชิงเทรา!M452+ชลบุรี!M452+ชัยนาท!M452+ตราด!M452+นครนายก!M452+นครปฐม!M452+ปทุมธานี!M452+ประจวบคีรีขันธ์!M452+ปราจีนบุรี!M452+พระนครศรีอยุธยา!M452+เพชรบุรี!M452+ระยอง!M452+ราชบุรี!M452+ลพบุรี!M452+สระแก้ว!M452+สระบุรี!M452+สิงห์บุรี!M452+สุพรรณบุรี!M452+อ่างทอง!M452</f>
        <v>0</v>
      </c>
      <c r="N452" s="52"/>
    </row>
    <row r="453" spans="1:14" ht="21.75" customHeight="1" x14ac:dyDescent="0.55000000000000004">
      <c r="A453" s="229"/>
      <c r="B453" s="230"/>
      <c r="C453" s="230"/>
      <c r="D453" s="312"/>
      <c r="E453" s="313"/>
      <c r="F453" s="313" t="s">
        <v>186</v>
      </c>
      <c r="G453" s="314"/>
      <c r="H453" s="315" t="s">
        <v>103</v>
      </c>
      <c r="I453" s="66">
        <f ca="1">กาญจนบุรี!I453+จันทบุรี!I453+ฉะเชิงเทรา!I453+ชลบุรี!I453+ชัยนาท!I453+ตราด!I453+นครนายก!I453+นครปฐม!I453+ปทุมธานี!I453+ประจวบคีรีขันธ์!I453+ปราจีนบุรี!I453+พระนครศรีอยุธยา!I453+เพชรบุรี!I453+ระยอง!I453+ราชบุรี!I453+ลพบุรี!I453+สระแก้ว!I453+สระบุรี!I453+สิงห์บุรี!I453+สุพรรณบุรี!I453+อ่างทอง!I453</f>
        <v>3000</v>
      </c>
      <c r="J453" s="66">
        <f>กาญจนบุรี!J453+จันทบุรี!J453+ฉะเชิงเทรา!J453+ชลบุรี!J453+ชัยนาท!J453+ตราด!J453+นครนายก!J453+นครปฐม!J453+ปทุมธานี!J453+ประจวบคีรีขันธ์!J453+ปราจีนบุรี!J453+พระนครศรีอยุธยา!J453+เพชรบุรี!J453+ระยอง!J453+ราชบุรี!J453+ลพบุรี!J453+สระแก้ว!J453+สระบุรี!J453+สิงห์บุรี!J453+สุพรรณบุรี!J453+อ่างทอง!J453</f>
        <v>0</v>
      </c>
      <c r="K453" s="232">
        <f ca="1">IF(I453&gt;0,J453*100/I453,0)</f>
        <v>0</v>
      </c>
      <c r="L453" s="52"/>
      <c r="M453" s="52"/>
      <c r="N453" s="52"/>
    </row>
    <row r="454" spans="1:14" ht="21.75" customHeight="1" x14ac:dyDescent="0.55000000000000004">
      <c r="A454" s="229"/>
      <c r="B454" s="230"/>
      <c r="C454" s="230"/>
      <c r="D454" s="312"/>
      <c r="E454" s="313"/>
      <c r="F454" s="313"/>
      <c r="G454" s="314"/>
      <c r="H454" s="315" t="s">
        <v>15</v>
      </c>
      <c r="I454" s="66">
        <f ca="1">กาญจนบุรี!I454+จันทบุรี!I454+ฉะเชิงเทรา!I454+ชลบุรี!I454+ชัยนาท!I454+ตราด!I454+นครนายก!I454+นครปฐม!I454+ปทุมธานี!I454+ประจวบคีรีขันธ์!I454+ปราจีนบุรี!I454+พระนครศรีอยุธยา!I454+เพชรบุรี!I454+ระยอง!I454+ราชบุรี!I454+ลพบุรี!I454+สระแก้ว!I454+สระบุรี!I454+สิงห์บุรี!I454+สุพรรณบุรี!I454+อ่างทอง!I454</f>
        <v>0</v>
      </c>
      <c r="J454" s="66">
        <f>กาญจนบุรี!J454+จันทบุรี!J454+ฉะเชิงเทรา!J454+ชลบุรี!J454+ชัยนาท!J454+ตราด!J454+นครนายก!J454+นครปฐม!J454+ปทุมธานี!J454+ประจวบคีรีขันธ์!J454+ปราจีนบุรี!J454+พระนครศรีอยุธยา!J454+เพชรบุรี!J454+ระยอง!J454+ราชบุรี!J454+ลพบุรี!J454+สระแก้ว!J454+สระบุรี!J454+สิงห์บุรี!J454+สุพรรณบุรี!J454+อ่างทอง!J454</f>
        <v>0</v>
      </c>
      <c r="K454" s="232"/>
      <c r="L454" s="52"/>
      <c r="M454" s="52"/>
      <c r="N454" s="52"/>
    </row>
    <row r="455" spans="1:14" ht="21.75" customHeight="1" x14ac:dyDescent="0.55000000000000004">
      <c r="A455" s="229"/>
      <c r="B455" s="230"/>
      <c r="C455" s="230"/>
      <c r="D455" s="312"/>
      <c r="E455" s="313"/>
      <c r="F455" s="313" t="s">
        <v>187</v>
      </c>
      <c r="G455" s="314"/>
      <c r="H455" s="315" t="s">
        <v>103</v>
      </c>
      <c r="I455" s="66">
        <f ca="1">กาญจนบุรี!I455+จันทบุรี!I455+ฉะเชิงเทรา!I455+ชลบุรี!I455+ชัยนาท!I455+ตราด!I455+นครนายก!I455+นครปฐม!I455+ปทุมธานี!I455+ประจวบคีรีขันธ์!I455+ปราจีนบุรี!I455+พระนครศรีอยุธยา!I455+เพชรบุรี!I455+ระยอง!I455+ราชบุรี!I455+ลพบุรี!I455+สระแก้ว!I455+สระบุรี!I455+สิงห์บุรี!I455+สุพรรณบุรี!I455+อ่างทอง!I455</f>
        <v>0</v>
      </c>
      <c r="J455" s="66">
        <f>กาญจนบุรี!J455+จันทบุรี!J455+ฉะเชิงเทรา!J455+ชลบุรี!J455+ชัยนาท!J455+ตราด!J455+นครนายก!J455+นครปฐม!J455+ปทุมธานี!J455+ประจวบคีรีขันธ์!J455+ปราจีนบุรี!J455+พระนครศรีอยุธยา!J455+เพชรบุรี!J455+ระยอง!J455+ราชบุรี!J455+ลพบุรี!J455+สระแก้ว!J455+สระบุรี!J455+สิงห์บุรี!J455+สุพรรณบุรี!J455+อ่างทอง!J455</f>
        <v>0</v>
      </c>
      <c r="K455" s="232">
        <f ca="1">IF(I455&gt;0,J455*100/I455,0)</f>
        <v>0</v>
      </c>
      <c r="L455" s="52"/>
      <c r="M455" s="52"/>
      <c r="N455" s="52"/>
    </row>
    <row r="456" spans="1:14" ht="21.75" customHeight="1" x14ac:dyDescent="0.55000000000000004">
      <c r="A456" s="229"/>
      <c r="B456" s="230"/>
      <c r="C456" s="230"/>
      <c r="D456" s="312"/>
      <c r="E456" s="313"/>
      <c r="F456" s="313"/>
      <c r="G456" s="314"/>
      <c r="H456" s="315" t="s">
        <v>15</v>
      </c>
      <c r="I456" s="66">
        <f ca="1">กาญจนบุรี!I456+จันทบุรี!I456+ฉะเชิงเทรา!I456+ชลบุรี!I456+ชัยนาท!I456+ตราด!I456+นครนายก!I456+นครปฐม!I456+ปทุมธานี!I456+ประจวบคีรีขันธ์!I456+ปราจีนบุรี!I456+พระนครศรีอยุธยา!I456+เพชรบุรี!I456+ระยอง!I456+ราชบุรี!I456+ลพบุรี!I456+สระแก้ว!I456+สระบุรี!I456+สิงห์บุรี!I456+สุพรรณบุรี!I456+อ่างทอง!I456</f>
        <v>0</v>
      </c>
      <c r="J456" s="66">
        <f>กาญจนบุรี!J456+จันทบุรี!J456+ฉะเชิงเทรา!J456+ชลบุรี!J456+ชัยนาท!J456+ตราด!J456+นครนายก!J456+นครปฐม!J456+ปทุมธานี!J456+ประจวบคีรีขันธ์!J456+ปราจีนบุรี!J456+พระนครศรีอยุธยา!J456+เพชรบุรี!J456+ระยอง!J456+ราชบุรี!J456+ลพบุรี!J456+สระแก้ว!J456+สระบุรี!J456+สิงห์บุรี!J456+สุพรรณบุรี!J456+อ่างทอง!J456</f>
        <v>0</v>
      </c>
      <c r="K456" s="232"/>
      <c r="L456" s="52"/>
      <c r="M456" s="52"/>
      <c r="N456" s="52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กาญจนบุรี!I457+จันทบุรี!I457+ฉะเชิงเทรา!I457+ชลบุรี!I457+ชัยนาท!I457+ตราด!I457+นครนายก!I457+นครปฐม!I457+ปทุมธานี!I457+ประจวบคีรีขันธ์!I457+ปราจีนบุรี!I457+พระนครศรีอยุธยา!I457+เพชรบุรี!I457+ระยอง!I457+ราชบุรี!I457+ลพบุรี!I457+สระแก้ว!I457+สระบุรี!I457+สิงห์บุรี!I457+สุพรรณบุรี!I457+อ่างทอง!I457</f>
        <v>15740</v>
      </c>
      <c r="J457" s="226">
        <f>กาญจนบุรี!J457+จันทบุรี!J457+ฉะเชิงเทรา!J457+ชลบุรี!J457+ชัยนาท!J457+ตราด!J457+นครนายก!J457+นครปฐม!J457+ปทุมธานี!J457+ประจวบคีรีขันธ์!J457+ปราจีนบุรี!J457+พระนครศรีอยุธยา!J457+เพชรบุรี!J457+ระยอง!J457+ราชบุรี!J457+ลพบุรี!J457+สระแก้ว!J457+สระบุรี!J457+สิงห์บุรี!J457+สุพรรณบุรี!J457+อ่างทอง!J457</f>
        <v>1919</v>
      </c>
      <c r="K457" s="227">
        <f ca="1">IF(I457&gt;0,J457*100/I457,0)</f>
        <v>12.191867852604828</v>
      </c>
      <c r="L457" s="228">
        <f ca="1">กาญจนบุรี!L457+จันทบุรี!L457+ฉะเชิงเทรา!L457+ชลบุรี!L457+ชัยนาท!L457+ตราด!L457+นครนายก!L457+นครปฐม!L457+ปทุมธานี!L457+ประจวบคีรีขันธ์!L457+ปราจีนบุรี!L457+พระนครศรีอยุธยา!L457+เพชรบุรี!L457+ระยอง!L457+ราชบุรี!L457+ลพบุรี!L457+สระแก้ว!L457+สระบุรี!L457+สิงห์บุรี!L457+สุพรรณบุรี!L457+อ่างทอง!L457</f>
        <v>2661040</v>
      </c>
      <c r="M457" s="228">
        <f>กาญจนบุรี!M457+จันทบุรี!M457+ฉะเชิงเทรา!M457+ชลบุรี!M457+ชัยนาท!M457+ตราด!M457+นครนายก!M457+นครปฐม!M457+ปทุมธานี!M457+ประจวบคีรีขันธ์!M457+ปราจีนบุรี!M457+พระนครศรีอยุธยา!M457+เพชรบุรี!M457+ระยอง!M457+ราชบุรี!M457+ลพบุรี!M457+สระแก้ว!M457+สระบุรี!M457+สิงห์บุรี!M457+สุพรรณบุรี!M457+อ่างทอง!M457</f>
        <v>37555.61</v>
      </c>
      <c r="N457" s="228">
        <f t="shared" ref="N457:N461" ca="1" si="41">+IF(L457&gt;0,M457*100/L457,0)</f>
        <v>1.4113132459489524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f>กาญจนบุรี!L458+จันทบุรี!L458+ฉะเชิงเทรา!L458+ชลบุรี!L458+ชัยนาท!L458+ตราด!L458+นครนายก!L458+นครปฐม!L458+ปทุมธานี!L458+ประจวบคีรีขันธ์!L458+ปราจีนบุรี!L458+พระนครศรีอยุธยา!L458+เพชรบุรี!L458+ระยอง!L458+ราชบุรี!L458+ลพบุรี!L458+สระแก้ว!L458+สระบุรี!L458+สิงห์บุรี!L458+สุพรรณบุรี!L458+อ่างทอง!L458</f>
        <v>0</v>
      </c>
      <c r="M458" s="52">
        <f>กาญจนบุรี!M458+จันทบุรี!M458+ฉะเชิงเทรา!M458+ชลบุรี!M458+ชัยนาท!M458+ตราด!M458+นครนายก!M458+นครปฐม!M458+ปทุมธานี!M458+ประจวบคีรีขันธ์!M458+ปราจีนบุรี!M458+พระนครศรีอยุธยา!M458+เพชรบุรี!M458+ระยอง!M458+ราชบุรี!M458+ลพบุรี!M458+สระแก้ว!M458+สระบุรี!M458+สิงห์บุรี!M458+สุพรรณบุรี!M458+อ่างทอง!M458</f>
        <v>0</v>
      </c>
      <c r="N458" s="52">
        <f t="shared" si="41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ca="1">กาญจนบุรี!L459+จันทบุรี!L459+ฉะเชิงเทรา!L459+ชลบุรี!L459+ชัยนาท!L459+ตราด!L459+นครนายก!L459+นครปฐม!L459+ปทุมธานี!L459+ประจวบคีรีขันธ์!L459+ปราจีนบุรี!L459+พระนครศรีอยุธยา!L459+เพชรบุรี!L459+ระยอง!L459+ราชบุรี!L459+ลพบุรี!L459+สระแก้ว!L459+สระบุรี!L459+สิงห์บุรี!L459+สุพรรณบุรี!L459+อ่างทอง!L459</f>
        <v>2661040</v>
      </c>
      <c r="M459" s="52">
        <f>กาญจนบุรี!M459+จันทบุรี!M459+ฉะเชิงเทรา!M459+ชลบุรี!M459+ชัยนาท!M459+ตราด!M459+นครนายก!M459+นครปฐม!M459+ปทุมธานี!M459+ประจวบคีรีขันธ์!M459+ปราจีนบุรี!M459+พระนครศรีอยุธยา!M459+เพชรบุรี!M459+ระยอง!M459+ราชบุรี!M459+ลพบุรี!M459+สระแก้ว!M459+สระบุรี!M459+สิงห์บุรี!M459+สุพรรณบุรี!M459+อ่างทอง!M459</f>
        <v>37555.61</v>
      </c>
      <c r="N459" s="52">
        <f t="shared" ca="1" si="41"/>
        <v>1.4113132459489524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กาญจนบุรี!L460+จันทบุรี!L460+ฉะเชิงเทรา!L460+ชลบุรี!L460+ชัยนาท!L460+ตราด!L460+นครนายก!L460+นครปฐม!L460+ปทุมธานี!L460+ประจวบคีรีขันธ์!L460+ปราจีนบุรี!L460+พระนครศรีอยุธยา!L460+เพชรบุรี!L460+ระยอง!L460+ราชบุรี!L460+ลพบุรี!L460+สระแก้ว!L460+สระบุรี!L460+สิงห์บุรี!L460+สุพรรณบุรี!L460+อ่างทอง!L460</f>
        <v>0</v>
      </c>
      <c r="M460" s="52">
        <f>กาญจนบุรี!M460+จันทบุรี!M460+ฉะเชิงเทรา!M460+ชลบุรี!M460+ชัยนาท!M460+ตราด!M460+นครนายก!M460+นครปฐม!M460+ปทุมธานี!M460+ประจวบคีรีขันธ์!M460+ปราจีนบุรี!M460+พระนครศรีอยุธยา!M460+เพชรบุรี!M460+ระยอง!M460+ราชบุรี!M460+ลพบุรี!M460+สระแก้ว!M460+สระบุรี!M460+สิงห์บุรี!M460+สุพรรณบุรี!M460+อ่างทอง!M460</f>
        <v>0</v>
      </c>
      <c r="N460" s="52">
        <f t="shared" ca="1" si="41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กาญจนบุรี!L461+จันทบุรี!L461+ฉะเชิงเทรา!L461+ชลบุรี!L461+ชัยนาท!L461+ตราด!L461+นครนายก!L461+นครปฐม!L461+ปทุมธานี!L461+ประจวบคีรีขันธ์!L461+ปราจีนบุรี!L461+พระนครศรีอยุธยา!L461+เพชรบุรี!L461+ระยอง!L461+ราชบุรี!L461+ลพบุรี!L461+สระแก้ว!L461+สระบุรี!L461+สิงห์บุรี!L461+สุพรรณบุรี!L461+อ่างทอง!L461</f>
        <v>2661040</v>
      </c>
      <c r="M461" s="52">
        <f>กาญจนบุรี!M461+จันทบุรี!M461+ฉะเชิงเทรา!M461+ชลบุรี!M461+ชัยนาท!M461+ตราด!M461+นครนายก!M461+นครปฐม!M461+ปทุมธานี!M461+ประจวบคีรีขันธ์!M461+ปราจีนบุรี!M461+พระนครศรีอยุธยา!M461+เพชรบุรี!M461+ระยอง!M461+ราชบุรี!M461+ลพบุรี!M461+สระแก้ว!M461+สระบุรี!M461+สิงห์บุรี!M461+สุพรรณบุรี!M461+อ่างทอง!M461</f>
        <v>37555.61</v>
      </c>
      <c r="N461" s="52">
        <f t="shared" ca="1" si="41"/>
        <v>1.4113132459489524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f>กาญจนบุรี!M462+จันทบุรี!M462+ฉะเชิงเทรา!M462+ชลบุรี!M462+ชัยนาท!M462+ตราด!M462+นครนายก!M462+นครปฐม!M462+ปทุมธานี!M462+ประจวบคีรีขันธ์!M462+ปราจีนบุรี!M462+พระนครศรีอยุธยา!M462+เพชรบุรี!M462+ระยอง!M462+ราชบุรี!M462+ลพบุรี!M462+สระแก้ว!M462+สระบุรี!M462+สิงห์บุรี!M462+สุพรรณบุรี!M462+อ่างทอง!M462</f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f>กาญจนบุรี!M463+จันทบุรี!M463+ฉะเชิงเทรา!M463+ชลบุรี!M463+ชัยนาท!M463+ตราด!M463+นครนายก!M463+นครปฐม!M463+ปทุมธานี!M463+ประจวบคีรีขันธ์!M463+ปราจีนบุรี!M463+พระนครศรีอยุธยา!M463+เพชรบุรี!M463+ระยอง!M463+ราชบุรี!M463+ลพบุรี!M463+สระแก้ว!M463+สระบุรี!M463+สิงห์บุรี!M463+สุพรรณบุรี!M463+อ่างทอง!M463</f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f>กาญจนบุรี!M464+จันทบุรี!M464+ฉะเชิงเทรา!M464+ชลบุรี!M464+ชัยนาท!M464+ตราด!M464+นครนายก!M464+นครปฐม!M464+ปทุมธานี!M464+ประจวบคีรีขันธ์!M464+ปราจีนบุรี!M464+พระนครศรีอยุธยา!M464+เพชรบุรี!M464+ระยอง!M464+ราชบุรี!M464+ลพบุรี!M464+สระแก้ว!M464+สระบุรี!M464+สิงห์บุรี!M464+สุพรรณบุรี!M464+อ่างทอง!M464</f>
        <v>37555.61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f>กาญจนบุรี!M465+จันทบุรี!M465+ฉะเชิงเทรา!M465+ชลบุรี!M465+ชัยนาท!M465+ตราด!M465+นครนายก!M465+นครปฐม!M465+ปทุมธานี!M465+ประจวบคีรีขันธ์!M465+ปราจีนบุรี!M465+พระนครศรีอยุธยา!M465+เพชรบุรี!M465+ระยอง!M465+ราชบุรี!M465+ลพบุรี!M465+สระแก้ว!M465+สระบุรี!M465+สิงห์บุรี!M465+สุพรรณบุรี!M465+อ่างทอง!M465</f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กาญจนบุรี!I466+จันทบุรี!I466+ฉะเชิงเทรา!I466+ชลบุรี!I466+ชัยนาท!I466+ตราด!I466+นครนายก!I466+นครปฐม!I466+ปทุมธานี!I466+ประจวบคีรีขันธ์!I466+ปราจีนบุรี!I466+พระนครศรีอยุธยา!I466+เพชรบุรี!I466+ระยอง!I466+ราชบุรี!I466+ลพบุรี!I466+สระแก้ว!I466+สระบุรี!I466+สิงห์บุรี!I466+สุพรรณบุรี!I466+อ่างทอง!I466</f>
        <v>15740</v>
      </c>
      <c r="J466" s="265">
        <f>กาญจนบุรี!J466+จันทบุรี!J466+ฉะเชิงเทรา!J466+ชลบุรี!J466+ชัยนาท!J466+ตราด!J466+นครนายก!J466+นครปฐม!J466+ปทุมธานี!J466+ประจวบคีรีขันธ์!J466+ปราจีนบุรี!J466+พระนครศรีอยุธยา!J466+เพชรบุรี!J466+ระยอง!J466+ราชบุรี!J466+ลพบุรี!J466+สระแก้ว!J466+สระบุรี!J466+สิงห์บุรี!J466+สุพรรณบุรี!J466+อ่างทอง!J466</f>
        <v>1919</v>
      </c>
      <c r="K466" s="79">
        <f ca="1">IF(I466&gt;0,J466*100/I466,0)</f>
        <v>12.191867852604828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f>กาญจนบุรี!I468+จันทบุรี!I468+ฉะเชิงเทรา!I468+ชลบุรี!I468+ชัยนาท!I468+ตราด!I468+นครนายก!I468+นครปฐม!I468+ปทุมธานี!I468+ประจวบคีรีขันธ์!I468+ปราจีนบุรี!I468+พระนครศรีอยุธยา!I468+เพชรบุรี!I468+ระยอง!I468+ราชบุรี!I468+ลพบุรี!I468+สระแก้ว!I468+สระบุรี!I468+สิงห์บุรี!I468+สุพรรณบุรี!I468+อ่างทอง!I468</f>
        <v>0</v>
      </c>
      <c r="J468" s="67">
        <f>กาญจนบุรี!J468+จันทบุรี!J468+ฉะเชิงเทรา!J468+ชลบุรี!J468+ชัยนาท!J468+ตราด!J468+นครนายก!J468+นครปฐม!J468+ปทุมธานี!J468+ประจวบคีรีขันธ์!J468+ปราจีนบุรี!J468+พระนครศรีอยุธยา!J468+เพชรบุรี!J468+ระยอง!J468+ราชบุรี!J468+ลพบุรี!J468+สระแก้ว!J468+สระบุรี!J468+สิงห์บุรี!J468+สุพรรณบุรี!J468+อ่างทอง!J468</f>
        <v>1</v>
      </c>
      <c r="K468" s="48">
        <f t="shared" ref="K468:K472" si="42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f>กาญจนบุรี!I469+จันทบุรี!I469+ฉะเชิงเทรา!I469+ชลบุรี!I469+ชัยนาท!I469+ตราด!I469+นครนายก!I469+นครปฐม!I469+ปทุมธานี!I469+ประจวบคีรีขันธ์!I469+ปราจีนบุรี!I469+พระนครศรีอยุธยา!I469+เพชรบุรี!I469+ระยอง!I469+ราชบุรี!I469+ลพบุรี!I469+สระแก้ว!I469+สระบุรี!I469+สิงห์บุรี!I469+สุพรรณบุรี!I469+อ่างทอง!I469</f>
        <v>0</v>
      </c>
      <c r="J469" s="67">
        <f>กาญจนบุรี!J469+จันทบุรี!J469+ฉะเชิงเทรา!J469+ชลบุรี!J469+ชัยนาท!J469+ตราด!J469+นครนายก!J469+นครปฐม!J469+ปทุมธานี!J469+ประจวบคีรีขันธ์!J469+ปราจีนบุรี!J469+พระนครศรีอยุธยา!J469+เพชรบุรี!J469+ระยอง!J469+ราชบุรี!J469+ลพบุรี!J469+สระแก้ว!J469+สระบุรี!J469+สิงห์บุรี!J469+สุพรรณบุรี!J469+อ่างทอง!J469</f>
        <v>22</v>
      </c>
      <c r="K469" s="48">
        <f t="shared" si="42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f>กาญจนบุรี!I470+จันทบุรี!I470+ฉะเชิงเทรา!I470+ชลบุรี!I470+ชัยนาท!I470+ตราด!I470+นครนายก!I470+นครปฐม!I470+ปทุมธานี!I470+ประจวบคีรีขันธ์!I470+ปราจีนบุรี!I470+พระนครศรีอยุธยา!I470+เพชรบุรี!I470+ระยอง!I470+ราชบุรี!I470+ลพบุรี!I470+สระแก้ว!I470+สระบุรี!I470+สิงห์บุรี!I470+สุพรรณบุรี!I470+อ่างทอง!I470</f>
        <v>0</v>
      </c>
      <c r="J470" s="67">
        <f>กาญจนบุรี!J470+จันทบุรี!J470+ฉะเชิงเทรา!J470+ชลบุรี!J470+ชัยนาท!J470+ตราด!J470+นครนายก!J470+นครปฐม!J470+ปทุมธานี!J470+ประจวบคีรีขันธ์!J470+ปราจีนบุรี!J470+พระนครศรีอยุธยา!J470+เพชรบุรี!J470+ระยอง!J470+ราชบุรี!J470+ลพบุรี!J470+สระแก้ว!J470+สระบุรี!J470+สิงห์บุรี!J470+สุพรรณบุรี!J470+อ่างทอง!J470</f>
        <v>1895</v>
      </c>
      <c r="K470" s="48">
        <f t="shared" si="42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f>กาญจนบุรี!I471+จันทบุรี!I471+ฉะเชิงเทรา!I471+ชลบุรี!I471+ชัยนาท!I471+ตราด!I471+นครนายก!I471+นครปฐม!I471+ปทุมธานี!I471+ประจวบคีรีขันธ์!I471+ปราจีนบุรี!I471+พระนครศรีอยุธยา!I471+เพชรบุรี!I471+ระยอง!I471+ราชบุรี!I471+ลพบุรี!I471+สระแก้ว!I471+สระบุรี!I471+สิงห์บุรี!I471+สุพรรณบุรี!I471+อ่างทอง!I471</f>
        <v>0</v>
      </c>
      <c r="J471" s="67">
        <f>กาญจนบุรี!J471+จันทบุรี!J471+ฉะเชิงเทรา!J471+ชลบุรี!J471+ชัยนาท!J471+ตราด!J471+นครนายก!J471+นครปฐม!J471+ปทุมธานี!J471+ประจวบคีรีขันธ์!J471+ปราจีนบุรี!J471+พระนครศรีอยุธยา!J471+เพชรบุรี!J471+ระยอง!J471+ราชบุรี!J471+ลพบุรี!J471+สระแก้ว!J471+สระบุรี!J471+สิงห์บุรี!J471+สุพรรณบุรี!J471+อ่างทอง!J471</f>
        <v>2</v>
      </c>
      <c r="K471" s="48">
        <f t="shared" si="42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f>กาญจนบุรี!I472+จันทบุรี!I472+ฉะเชิงเทรา!I472+ชลบุรี!I472+ชัยนาท!I472+ตราด!I472+นครนายก!I472+นครปฐม!I472+ปทุมธานี!I472+ประจวบคีรีขันธ์!I472+ปราจีนบุรี!I472+พระนครศรีอยุธยา!I472+เพชรบุรี!I472+ระยอง!I472+ราชบุรี!I472+ลพบุรี!I472+สระแก้ว!I472+สระบุรี!I472+สิงห์บุรี!I472+สุพรรณบุรี!I472+อ่างทอง!I472</f>
        <v>0</v>
      </c>
      <c r="J472" s="67">
        <f>กาญจนบุรี!J472+จันทบุรี!J472+ฉะเชิงเทรา!J472+ชลบุรี!J472+ชัยนาท!J472+ตราด!J472+นครนายก!J472+นครปฐม!J472+ปทุมธานี!J472+ประจวบคีรีขันธ์!J472+ปราจีนบุรี!J472+พระนครศรีอยุธยา!J472+เพชรบุรี!J472+ระยอง!J472+ราชบุรี!J472+ลพบุรี!J472+สระแก้ว!J472+สระบุรี!J472+สิงห์บุรี!J472+สุพรรณบุรี!J472+อ่างทอง!J472</f>
        <v>0</v>
      </c>
      <c r="K472" s="48">
        <f t="shared" si="42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กาญจนบุรี!I473+จันทบุรี!I473+ฉะเชิงเทรา!I473+ชลบุรี!I473+ชัยนาท!I473+ตราด!I473+นครนายก!I473+นครปฐม!I473+ปทุมธานี!I473+ประจวบคีรีขันธ์!I473+ปราจีนบุรี!I473+พระนครศรีอยุธยา!I473+เพชรบุรี!I473+ระยอง!I473+ราชบุรี!I473+ลพบุรี!I473+สระแก้ว!I473+สระบุรี!I473+สิงห์บุรี!I473+สุพรรณบุรี!I473+อ่างทอง!I473</f>
        <v>795</v>
      </c>
      <c r="J473" s="226">
        <f ca="1">กาญจนบุรี!J473+จันทบุรี!J473+ฉะเชิงเทรา!J473+ชลบุรี!J473+ชัยนาท!J473+ตราด!J473+นครนายก!J473+นครปฐม!J473+ปทุมธานี!J473+ประจวบคีรีขันธ์!J473+ปราจีนบุรี!J473+พระนครศรีอยุธยา!J473+เพชรบุรี!J473+ระยอง!J473+ราชบุรี!J473+ลพบุรี!J473+สระแก้ว!J473+สระบุรี!J473+สิงห์บุรี!J473+สุพรรณบุรี!J473+อ่างทอง!J473</f>
        <v>3</v>
      </c>
      <c r="K473" s="227">
        <f ca="1">IF(I473&gt;0,J473*100/I473,0)</f>
        <v>0.37735849056603776</v>
      </c>
      <c r="L473" s="228">
        <f ca="1">กาญจนบุรี!L473+จันทบุรี!L473+ฉะเชิงเทรา!L473+ชลบุรี!L473+ชัยนาท!L473+ตราด!L473+นครนายก!L473+นครปฐม!L473+ปทุมธานี!L473+ประจวบคีรีขันธ์!L473+ปราจีนบุรี!L473+พระนครศรีอยุธยา!L473+เพชรบุรี!L473+ระยอง!L473+ราชบุรี!L473+ลพบุรี!L473+สระแก้ว!L473+สระบุรี!L473+สิงห์บุรี!L473+สุพรรณบุรี!L473+อ่างทอง!L473</f>
        <v>1163595</v>
      </c>
      <c r="M473" s="228">
        <f>กาญจนบุรี!M473+จันทบุรี!M473+ฉะเชิงเทรา!M473+ชลบุรี!M473+ชัยนาท!M473+ตราด!M473+นครนายก!M473+นครปฐม!M473+ปทุมธานี!M473+ประจวบคีรีขันธ์!M473+ปราจีนบุรี!M473+พระนครศรีอยุธยา!M473+เพชรบุรี!M473+ระยอง!M473+ราชบุรี!M473+ลพบุรี!M473+สระแก้ว!M473+สระบุรี!M473+สิงห์บุรี!M473+สุพรรณบุรี!M473+อ่างทอง!M473</f>
        <v>10838.73</v>
      </c>
      <c r="N473" s="228">
        <f t="shared" ref="N473:N477" ca="1" si="43">+IF(L473&gt;0,M473*100/L473,0)</f>
        <v>0.93148647080814195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f>กาญจนบุรี!L474+จันทบุรี!L474+ฉะเชิงเทรา!L474+ชลบุรี!L474+ชัยนาท!L474+ตราด!L474+นครนายก!L474+นครปฐม!L474+ปทุมธานี!L474+ประจวบคีรีขันธ์!L474+ปราจีนบุรี!L474+พระนครศรีอยุธยา!L474+เพชรบุรี!L474+ระยอง!L474+ราชบุรี!L474+ลพบุรี!L474+สระแก้ว!L474+สระบุรี!L474+สิงห์บุรี!L474+สุพรรณบุรี!L474+อ่างทอง!L474</f>
        <v>0</v>
      </c>
      <c r="M474" s="52">
        <f>กาญจนบุรี!M474+จันทบุรี!M474+ฉะเชิงเทรา!M474+ชลบุรี!M474+ชัยนาท!M474+ตราด!M474+นครนายก!M474+นครปฐม!M474+ปทุมธานี!M474+ประจวบคีรีขันธ์!M474+ปราจีนบุรี!M474+พระนครศรีอยุธยา!M474+เพชรบุรี!M474+ระยอง!M474+ราชบุรี!M474+ลพบุรี!M474+สระแก้ว!M474+สระบุรี!M474+สิงห์บุรี!M474+สุพรรณบุรี!M474+อ่างทอง!M474</f>
        <v>0</v>
      </c>
      <c r="N474" s="52">
        <f t="shared" si="43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ca="1">กาญจนบุรี!L475+จันทบุรี!L475+ฉะเชิงเทรา!L475+ชลบุรี!L475+ชัยนาท!L475+ตราด!L475+นครนายก!L475+นครปฐม!L475+ปทุมธานี!L475+ประจวบคีรีขันธ์!L475+ปราจีนบุรี!L475+พระนครศรีอยุธยา!L475+เพชรบุรี!L475+ระยอง!L475+ราชบุรี!L475+ลพบุรี!L475+สระแก้ว!L475+สระบุรี!L475+สิงห์บุรี!L475+สุพรรณบุรี!L475+อ่างทอง!L475</f>
        <v>1163595</v>
      </c>
      <c r="M475" s="52">
        <f>กาญจนบุรี!M475+จันทบุรี!M475+ฉะเชิงเทรา!M475+ชลบุรี!M475+ชัยนาท!M475+ตราด!M475+นครนายก!M475+นครปฐม!M475+ปทุมธานี!M475+ประจวบคีรีขันธ์!M475+ปราจีนบุรี!M475+พระนครศรีอยุธยา!M475+เพชรบุรี!M475+ระยอง!M475+ราชบุรี!M475+ลพบุรี!M475+สระแก้ว!M475+สระบุรี!M475+สิงห์บุรี!M475+สุพรรณบุรี!M475+อ่างทอง!M475</f>
        <v>10838.73</v>
      </c>
      <c r="N475" s="52">
        <f t="shared" ca="1" si="43"/>
        <v>0.93148647080814195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กาญจนบุรี!L476+จันทบุรี!L476+ฉะเชิงเทรา!L476+ชลบุรี!L476+ชัยนาท!L476+ตราด!L476+นครนายก!L476+นครปฐม!L476+ปทุมธานี!L476+ประจวบคีรีขันธ์!L476+ปราจีนบุรี!L476+พระนครศรีอยุธยา!L476+เพชรบุรี!L476+ระยอง!L476+ราชบุรี!L476+ลพบุรี!L476+สระแก้ว!L476+สระบุรี!L476+สิงห์บุรี!L476+สุพรรณบุรี!L476+อ่างทอง!L476</f>
        <v>0</v>
      </c>
      <c r="M476" s="52">
        <f>กาญจนบุรี!M476+จันทบุรี!M476+ฉะเชิงเทรา!M476+ชลบุรี!M476+ชัยนาท!M476+ตราด!M476+นครนายก!M476+นครปฐม!M476+ปทุมธานี!M476+ประจวบคีรีขันธ์!M476+ปราจีนบุรี!M476+พระนครศรีอยุธยา!M476+เพชรบุรี!M476+ระยอง!M476+ราชบุรี!M476+ลพบุรี!M476+สระแก้ว!M476+สระบุรี!M476+สิงห์บุรี!M476+สุพรรณบุรี!M476+อ่างทอง!M476</f>
        <v>0</v>
      </c>
      <c r="N476" s="52">
        <f t="shared" ca="1" si="43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กาญจนบุรี!L477+จันทบุรี!L477+ฉะเชิงเทรา!L477+ชลบุรี!L477+ชัยนาท!L477+ตราด!L477+นครนายก!L477+นครปฐม!L477+ปทุมธานี!L477+ประจวบคีรีขันธ์!L477+ปราจีนบุรี!L477+พระนครศรีอยุธยา!L477+เพชรบุรี!L477+ระยอง!L477+ราชบุรี!L477+ลพบุรี!L477+สระแก้ว!L477+สระบุรี!L477+สิงห์บุรี!L477+สุพรรณบุรี!L477+อ่างทอง!L477</f>
        <v>1163595</v>
      </c>
      <c r="M477" s="52">
        <f>กาญจนบุรี!M477+จันทบุรี!M477+ฉะเชิงเทรา!M477+ชลบุรี!M477+ชัยนาท!M477+ตราด!M477+นครนายก!M477+นครปฐม!M477+ปทุมธานี!M477+ประจวบคีรีขันธ์!M477+ปราจีนบุรี!M477+พระนครศรีอยุธยา!M477+เพชรบุรี!M477+ระยอง!M477+ราชบุรี!M477+ลพบุรี!M477+สระแก้ว!M477+สระบุรี!M477+สิงห์บุรี!M477+สุพรรณบุรี!M477+อ่างทอง!M477</f>
        <v>10838.73</v>
      </c>
      <c r="N477" s="52">
        <f t="shared" ca="1" si="43"/>
        <v>0.93148647080814195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3">
        <f>กาญจนบุรี!M478+จันทบุรี!M478+ฉะเชิงเทรา!M478+ชลบุรี!M478+ชัยนาท!M478+ตราด!M478+นครนายก!M478+นครปฐม!M478+ปทุมธานี!M478+ประจวบคีรีขันธ์!M478+ปราจีนบุรี!M478+พระนครศรีอยุธยา!M478+เพชรบุรี!M478+ระยอง!M478+ราชบุรี!M478+ลพบุรี!M478+สระแก้ว!M478+สระบุรี!M478+สิงห์บุรี!M478+สุพรรณบุรี!M478+อ่างทอง!M478</f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3">
        <f>กาญจนบุรี!M479+จันทบุรี!M479+ฉะเชิงเทรา!M479+ชลบุรี!M479+ชัยนาท!M479+ตราด!M479+นครนายก!M479+นครปฐม!M479+ปทุมธานี!M479+ประจวบคีรีขันธ์!M479+ปราจีนบุรี!M479+พระนครศรีอยุธยา!M479+เพชรบุรี!M479+ระยอง!M479+ราชบุรี!M479+ลพบุรี!M479+สระแก้ว!M479+สระบุรี!M479+สิงห์บุรี!M479+สุพรรณบุรี!M479+อ่างทอง!M479</f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3">
        <f>กาญจนบุรี!M480+จันทบุรี!M480+ฉะเชิงเทรา!M480+ชลบุรี!M480+ชัยนาท!M480+ตราด!M480+นครนายก!M480+นครปฐม!M480+ปทุมธานี!M480+ประจวบคีรีขันธ์!M480+ปราจีนบุรี!M480+พระนครศรีอยุธยา!M480+เพชรบุรี!M480+ระยอง!M480+ราชบุรี!M480+ลพบุรี!M480+สระแก้ว!M480+สระบุรี!M480+สิงห์บุรี!M480+สุพรรณบุรี!M480+อ่างทอง!M480</f>
        <v>10838.73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3">
        <f>กาญจนบุรี!M481+จันทบุรี!M481+ฉะเชิงเทรา!M481+ชลบุรี!M481+ชัยนาท!M481+ตราด!M481+นครนายก!M481+นครปฐม!M481+ปทุมธานี!M481+ประจวบคีรีขันธ์!M481+ปราจีนบุรี!M481+พระนครศรีอยุธยา!M481+เพชรบุรี!M481+ระยอง!M481+ราชบุรี!M481+ลพบุรี!M481+สระแก้ว!M481+สระบุรี!M481+สิงห์บุรี!M481+สุพรรณบุรี!M481+อ่างทอง!M481</f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กาญจนบุรี!I482+จันทบุรี!I482+ฉะเชิงเทรา!I482+ชลบุรี!I482+ชัยนาท!I482+ตราด!I482+นครนายก!I482+นครปฐม!I482+ปทุมธานี!I482+ประจวบคีรีขันธ์!I482+ปราจีนบุรี!I482+พระนครศรีอยุธยา!I482+เพชรบุรี!I482+ระยอง!I482+ราชบุรี!I482+ลพบุรี!I482+สระแก้ว!I482+สระบุรี!I482+สิงห์บุรี!I482+สุพรรณบุรี!I482+อ่างทอง!I482</f>
        <v>795</v>
      </c>
      <c r="J482" s="67">
        <f ca="1">กาญจนบุรี!J482+จันทบุรี!J482+ฉะเชิงเทรา!J482+ชลบุรี!J482+ชัยนาท!J482+ตราด!J482+นครนายก!J482+นครปฐม!J482+ปทุมธานี!J482+ประจวบคีรีขันธ์!J482+ปราจีนบุรี!J482+พระนครศรีอยุธยา!J482+เพชรบุรี!J482+ระยอง!J482+ราชบุรี!J482+ลพบุรี!J482+สระแก้ว!J482+สระบุรี!J482+สิงห์บุรี!J482+สุพรรณบุรี!J482+อ่างทอง!J482</f>
        <v>108</v>
      </c>
      <c r="K482" s="48">
        <f t="shared" ref="K482:K489" ca="1" si="44">IF(I482&gt;0,J482*100/I482,0)</f>
        <v>13.584905660377359</v>
      </c>
      <c r="L482" s="60"/>
      <c r="M482" s="60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กาญจนบุรี!I483+จันทบุรี!I483+ฉะเชิงเทรา!I483+ชลบุรี!I483+ชัยนาท!I483+ตราด!I483+นครนายก!I483+นครปฐม!I483+ปทุมธานี!I483+ประจวบคีรีขันธ์!I483+ปราจีนบุรี!I483+พระนครศรีอยุธยา!I483+เพชรบุรี!I483+ระยอง!I483+ราชบุรี!I483+ลพบุรี!I483+สระแก้ว!I483+สระบุรี!I483+สิงห์บุรี!I483+สุพรรณบุรี!I483+อ่างทอง!I483</f>
        <v>0</v>
      </c>
      <c r="J483" s="67">
        <f ca="1">กาญจนบุรี!J483+จันทบุรี!J483+ฉะเชิงเทรา!J483+ชลบุรี!J483+ชัยนาท!J483+ตราด!J483+นครนายก!J483+นครปฐม!J483+ปทุมธานี!J483+ประจวบคีรีขันธ์!J483+ปราจีนบุรี!J483+พระนครศรีอยุธยา!J483+เพชรบุรี!J483+ระยอง!J483+ราชบุรี!J483+ลพบุรี!J483+สระแก้ว!J483+สระบุรี!J483+สิงห์บุรี!J483+สุพรรณบุรี!J483+อ่างทอง!J483</f>
        <v>93.14</v>
      </c>
      <c r="K483" s="48">
        <f t="shared" ca="1" si="44"/>
        <v>0</v>
      </c>
      <c r="L483" s="60"/>
      <c r="M483" s="60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กาญจนบุรี!I484+จันทบุรี!I484+ฉะเชิงเทรา!I484+ชลบุรี!I484+ชัยนาท!I484+ตราด!I484+นครนายก!I484+นครปฐม!I484+ปทุมธานี!I484+ประจวบคีรีขันธ์!I484+ปราจีนบุรี!I484+พระนครศรีอยุธยา!I484+เพชรบุรี!I484+ระยอง!I484+ราชบุรี!I484+ลพบุรี!I484+สระแก้ว!I484+สระบุรี!I484+สิงห์บุรี!I484+สุพรรณบุรี!I484+อ่างทอง!I484</f>
        <v>795</v>
      </c>
      <c r="J484" s="67">
        <f ca="1">กาญจนบุรี!J484+จันทบุรี!J484+ฉะเชิงเทรา!J484+ชลบุรี!J484+ชัยนาท!J484+ตราด!J484+นครนายก!J484+นครปฐม!J484+ปทุมธานี!J484+ประจวบคีรีขันธ์!J484+ปราจีนบุรี!J484+พระนครศรีอยุธยา!J484+เพชรบุรี!J484+ระยอง!J484+ราชบุรี!J484+ลพบุรี!J484+สระแก้ว!J484+สระบุรี!J484+สิงห์บุรี!J484+สุพรรณบุรี!J484+อ่างทอง!J484</f>
        <v>1</v>
      </c>
      <c r="K484" s="48">
        <f t="shared" ca="1" si="44"/>
        <v>0.12578616352201258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กาญจนบุรี!I485+จันทบุรี!I485+ฉะเชิงเทรา!I485+ชลบุรี!I485+ชัยนาท!I485+ตราด!I485+นครนายก!I485+นครปฐม!I485+ปทุมธานี!I485+ประจวบคีรีขันธ์!I485+ปราจีนบุรี!I485+พระนครศรีอยุธยา!I485+เพชรบุรี!I485+ระยอง!I485+ราชบุรี!I485+ลพบุรี!I485+สระแก้ว!I485+สระบุรี!I485+สิงห์บุรี!I485+สุพรรณบุรี!I485+อ่างทอง!I485</f>
        <v>0</v>
      </c>
      <c r="J485" s="67">
        <f ca="1">กาญจนบุรี!J485+จันทบุรี!J485+ฉะเชิงเทรา!J485+ชลบุรี!J485+ชัยนาท!J485+ตราด!J485+นครนายก!J485+นครปฐม!J485+ปทุมธานี!J485+ประจวบคีรีขันธ์!J485+ปราจีนบุรี!J485+พระนครศรีอยุธยา!J485+เพชรบุรี!J485+ระยอง!J485+ราชบุรี!J485+ลพบุรี!J485+สระแก้ว!J485+สระบุรี!J485+สิงห์บุรี!J485+สุพรรณบุรี!J485+อ่างทอง!J485</f>
        <v>0.56000000000000005</v>
      </c>
      <c r="K485" s="48">
        <f t="shared" ca="1" si="44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กาญจนบุรี!I486+จันทบุรี!I486+ฉะเชิงเทรา!I486+ชลบุรี!I486+ชัยนาท!I486+ตราด!I486+นครนายก!I486+นครปฐม!I486+ปทุมธานี!I486+ประจวบคีรีขันธ์!I486+ปราจีนบุรี!I486+พระนครศรีอยุธยา!I486+เพชรบุรี!I486+ระยอง!I486+ราชบุรี!I486+ลพบุรี!I486+สระแก้ว!I486+สระบุรี!I486+สิงห์บุรี!I486+สุพรรณบุรี!I486+อ่างทอง!I486</f>
        <v>795</v>
      </c>
      <c r="J486" s="67">
        <f ca="1">กาญจนบุรี!J486+จันทบุรี!J486+ฉะเชิงเทรา!J486+ชลบุรี!J486+ชัยนาท!J486+ตราด!J486+นครนายก!J486+นครปฐม!J486+ปทุมธานี!J486+ประจวบคีรีขันธ์!J486+ปราจีนบุรี!J486+พระนครศรีอยุธยา!J486+เพชรบุรี!J486+ระยอง!J486+ราชบุรี!J486+ลพบุรี!J486+สระแก้ว!J486+สระบุรี!J486+สิงห์บุรี!J486+สุพรรณบุรี!J486+อ่างทอง!J486</f>
        <v>0</v>
      </c>
      <c r="K486" s="48">
        <f t="shared" ca="1" si="44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กาญจนบุรี!I487+จันทบุรี!I487+ฉะเชิงเทรา!I487+ชลบุรี!I487+ชัยนาท!I487+ตราด!I487+นครนายก!I487+นครปฐม!I487+ปทุมธานี!I487+ประจวบคีรีขันธ์!I487+ปราจีนบุรี!I487+พระนครศรีอยุธยา!I487+เพชรบุรี!I487+ระยอง!I487+ราชบุรี!I487+ลพบุรี!I487+สระแก้ว!I487+สระบุรี!I487+สิงห์บุรี!I487+สุพรรณบุรี!I487+อ่างทอง!I487</f>
        <v>0</v>
      </c>
      <c r="J487" s="67">
        <f ca="1">กาญจนบุรี!J487+จันทบุรี!J487+ฉะเชิงเทรา!J487+ชลบุรี!J487+ชัยนาท!J487+ตราด!J487+นครนายก!J487+นครปฐม!J487+ปทุมธานี!J487+ประจวบคีรีขันธ์!J487+ปราจีนบุรี!J487+พระนครศรีอยุธยา!J487+เพชรบุรี!J487+ระยอง!J487+ราชบุรี!J487+ลพบุรี!J487+สระแก้ว!J487+สระบุรี!J487+สิงห์บุรี!J487+สุพรรณบุรี!J487+อ่างทอง!J487</f>
        <v>0</v>
      </c>
      <c r="K487" s="48">
        <f t="shared" ca="1" si="44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กาญจนบุรี!I488+จันทบุรี!I488+ฉะเชิงเทรา!I488+ชลบุรี!I488+ชัยนาท!I488+ตราด!I488+นครนายก!I488+นครปฐม!I488+ปทุมธานี!I488+ประจวบคีรีขันธ์!I488+ปราจีนบุรี!I488+พระนครศรีอยุธยา!I488+เพชรบุรี!I488+ระยอง!I488+ราชบุรี!I488+ลพบุรี!I488+สระแก้ว!I488+สระบุรี!I488+สิงห์บุรี!I488+สุพรรณบุรี!I488+อ่างทอง!I488</f>
        <v>795</v>
      </c>
      <c r="J488" s="67">
        <f ca="1">กาญจนบุรี!J488+จันทบุรี!J488+ฉะเชิงเทรา!J488+ชลบุรี!J488+ชัยนาท!J488+ตราด!J488+นครนายก!J488+นครปฐม!J488+ปทุมธานี!J488+ประจวบคีรีขันธ์!J488+ปราจีนบุรี!J488+พระนครศรีอยุธยา!J488+เพชรบุรี!J488+ระยอง!J488+ราชบุรี!J488+ลพบุรี!J488+สระแก้ว!J488+สระบุรี!J488+สิงห์บุรี!J488+สุพรรณบุรี!J488+อ่างทอง!J488</f>
        <v>3</v>
      </c>
      <c r="K488" s="48">
        <f t="shared" ca="1" si="44"/>
        <v>0.37735849056603776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กาญจนบุรี!I489+จันทบุรี!I489+ฉะเชิงเทรา!I489+ชลบุรี!I489+ชัยนาท!I489+ตราด!I489+นครนายก!I489+นครปฐม!I489+ปทุมธานี!I489+ประจวบคีรีขันธ์!I489+ปราจีนบุรี!I489+พระนครศรีอยุธยา!I489+เพชรบุรี!I489+ระยอง!I489+ราชบุรี!I489+ลพบุรี!I489+สระแก้ว!I489+สระบุรี!I489+สิงห์บุรี!I489+สุพรรณบุรี!I489+อ่างทอง!I489</f>
        <v>0</v>
      </c>
      <c r="J489" s="300">
        <f ca="1">กาญจนบุรี!J489+จันทบุรี!J489+ฉะเชิงเทรา!J489+ชลบุรี!J489+ชัยนาท!J489+ตราด!J489+นครนายก!J489+นครปฐม!J489+ปทุมธานี!J489+ประจวบคีรีขันธ์!J489+ปราจีนบุรี!J489+พระนครศรีอยุธยา!J489+เพชรบุรี!J489+ระยอง!J489+ราชบุรี!J489+ลพบุรี!J489+สระแก้ว!J489+สระบุรี!J489+สิงห์บุรี!J489+สุพรรณบุรี!J489+อ่างทอง!J489</f>
        <v>2.2400000000000002</v>
      </c>
      <c r="K489" s="113">
        <f t="shared" ca="1" si="44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303">
        <f ca="1">กาญจนบุรี!I490+จันทบุรี!I490+ฉะเชิงเทรา!I490+ชลบุรี!I490+ชัยนาท!I490+ตราด!I490+นครนายก!I490+นครปฐม!I490+ปทุมธานี!I490+ประจวบคีรีขันธ์!I490+ปราจีนบุรี!I490+พระนครศรีอยุธยา!I490+เพชรบุรี!I490+ระยอง!I490+ราชบุรี!I490+ลพบุรี!I490+สระแก้ว!I490+สระบุรี!I490+สิงห์บุรี!I490+สุพรรณบุรี!I490+อ่างทอง!I490</f>
        <v>1632</v>
      </c>
      <c r="J490" s="303">
        <f>กาญจนบุรี!J490+จันทบุรี!J490+ฉะเชิงเทรา!J490+ชลบุรี!J490+ชัยนาท!J490+ตราด!J490+นครนายก!J490+นครปฐม!J490+ปทุมธานี!J490+ประจวบคีรีขันธ์!J490+ปราจีนบุรี!J490+พระนครศรีอยุธยา!J490+เพชรบุรี!J490+ระยอง!J490+ราชบุรี!J490+ลพบุรี!J490+สระแก้ว!J490+สระบุรี!J490+สิงห์บุรี!J490+สุพรรณบุรี!J490+อ่างทอง!J490</f>
        <v>0</v>
      </c>
      <c r="K490" s="304">
        <f ca="1">IF(I490&gt;0,J490*100/I490,0)</f>
        <v>0</v>
      </c>
      <c r="L490" s="259">
        <f ca="1">กาญจนบุรี!L490+จันทบุรี!L490+ฉะเชิงเทรา!L490+ชลบุรี!L490+ชัยนาท!L490+ตราด!L490+นครนายก!L490+นครปฐม!L490+ปทุมธานี!L490+ประจวบคีรีขันธ์!L490+ปราจีนบุรี!L490+พระนครศรีอยุธยา!L490+เพชรบุรี!L490+ระยอง!L490+ราชบุรี!L490+ลพบุรี!L490+สระแก้ว!L490+สระบุรี!L490+สิงห์บุรี!L490+สุพรรณบุรี!L490+อ่างทอง!L490</f>
        <v>148960</v>
      </c>
      <c r="M490" s="259">
        <f>กาญจนบุรี!M490+จันทบุรี!M490+ฉะเชิงเทรา!M490+ชลบุรี!M490+ชัยนาท!M490+ตราด!M490+นครนายก!M490+นครปฐม!M490+ปทุมธานี!M490+ประจวบคีรีขันธ์!M490+ปราจีนบุรี!M490+พระนครศรีอยุธยา!M490+เพชรบุรี!M490+ระยอง!M490+ราชบุรี!M490+ลพบุรี!M490+สระแก้ว!M490+สระบุรี!M490+สิงห์บุรี!M490+สุพรรณบุรี!M490+อ่างทอง!M490</f>
        <v>8060</v>
      </c>
      <c r="N490" s="259">
        <f t="shared" ref="N490:N494" ca="1" si="45">+IF(L490&gt;0,M490*100/L490,0)</f>
        <v>5.4108485499462944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f>กาญจนบุรี!L491+จันทบุรี!L491+ฉะเชิงเทรา!L491+ชลบุรี!L491+ชัยนาท!L491+ตราด!L491+นครนายก!L491+นครปฐม!L491+ปทุมธานี!L491+ประจวบคีรีขันธ์!L491+ปราจีนบุรี!L491+พระนครศรีอยุธยา!L491+เพชรบุรี!L491+ระยอง!L491+ราชบุรี!L491+ลพบุรี!L491+สระแก้ว!L491+สระบุรี!L491+สิงห์บุรี!L491+สุพรรณบุรี!L491+อ่างทอง!L491</f>
        <v>0</v>
      </c>
      <c r="M491" s="52">
        <f>กาญจนบุรี!M491+จันทบุรี!M491+ฉะเชิงเทรา!M491+ชลบุรี!M491+ชัยนาท!M491+ตราด!M491+นครนายก!M491+นครปฐม!M491+ปทุมธานี!M491+ประจวบคีรีขันธ์!M491+ปราจีนบุรี!M491+พระนครศรีอยุธยา!M491+เพชรบุรี!M491+ระยอง!M491+ราชบุรี!M491+ลพบุรี!M491+สระแก้ว!M491+สระบุรี!M491+สิงห์บุรี!M491+สุพรรณบุรี!M491+อ่างทอง!M491</f>
        <v>0</v>
      </c>
      <c r="N491" s="52">
        <f t="shared" si="45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ca="1">กาญจนบุรี!L492+จันทบุรี!L492+ฉะเชิงเทรา!L492+ชลบุรี!L492+ชัยนาท!L492+ตราด!L492+นครนายก!L492+นครปฐม!L492+ปทุมธานี!L492+ประจวบคีรีขันธ์!L492+ปราจีนบุรี!L492+พระนครศรีอยุธยา!L492+เพชรบุรี!L492+ระยอง!L492+ราชบุรี!L492+ลพบุรี!L492+สระแก้ว!L492+สระบุรี!L492+สิงห์บุรี!L492+สุพรรณบุรี!L492+อ่างทอง!L492</f>
        <v>148960</v>
      </c>
      <c r="M492" s="52">
        <f>กาญจนบุรี!M492+จันทบุรี!M492+ฉะเชิงเทรา!M492+ชลบุรี!M492+ชัยนาท!M492+ตราด!M492+นครนายก!M492+นครปฐม!M492+ปทุมธานี!M492+ประจวบคีรีขันธ์!M492+ปราจีนบุรี!M492+พระนครศรีอยุธยา!M492+เพชรบุรี!M492+ระยอง!M492+ราชบุรี!M492+ลพบุรี!M492+สระแก้ว!M492+สระบุรี!M492+สิงห์บุรี!M492+สุพรรณบุรี!M492+อ่างทอง!M492</f>
        <v>8060</v>
      </c>
      <c r="N492" s="52">
        <f t="shared" ca="1" si="45"/>
        <v>5.4108485499462944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กาญจนบุรี!L493+จันทบุรี!L493+ฉะเชิงเทรา!L493+ชลบุรี!L493+ชัยนาท!L493+ตราด!L493+นครนายก!L493+นครปฐม!L493+ปทุมธานี!L493+ประจวบคีรีขันธ์!L493+ปราจีนบุรี!L493+พระนครศรีอยุธยา!L493+เพชรบุรี!L493+ระยอง!L493+ราชบุรี!L493+ลพบุรี!L493+สระแก้ว!L493+สระบุรี!L493+สิงห์บุรี!L493+สุพรรณบุรี!L493+อ่างทอง!L493</f>
        <v>0</v>
      </c>
      <c r="M493" s="52">
        <f>กาญจนบุรี!M493+จันทบุรี!M493+ฉะเชิงเทรา!M493+ชลบุรี!M493+ชัยนาท!M493+ตราด!M493+นครนายก!M493+นครปฐม!M493+ปทุมธานี!M493+ประจวบคีรีขันธ์!M493+ปราจีนบุรี!M493+พระนครศรีอยุธยา!M493+เพชรบุรี!M493+ระยอง!M493+ราชบุรี!M493+ลพบุรี!M493+สระแก้ว!M493+สระบุรี!M493+สิงห์บุรี!M493+สุพรรณบุรี!M493+อ่างทอง!M493</f>
        <v>0</v>
      </c>
      <c r="N493" s="52">
        <f t="shared" ca="1" si="45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กาญจนบุรี!L494+จันทบุรี!L494+ฉะเชิงเทรา!L494+ชลบุรี!L494+ชัยนาท!L494+ตราด!L494+นครนายก!L494+นครปฐม!L494+ปทุมธานี!L494+ประจวบคีรีขันธ์!L494+ปราจีนบุรี!L494+พระนครศรีอยุธยา!L494+เพชรบุรี!L494+ระยอง!L494+ราชบุรี!L494+ลพบุรี!L494+สระแก้ว!L494+สระบุรี!L494+สิงห์บุรี!L494+สุพรรณบุรี!L494+อ่างทอง!L494</f>
        <v>148960</v>
      </c>
      <c r="M494" s="52">
        <f>กาญจนบุรี!M494+จันทบุรี!M494+ฉะเชิงเทรา!M494+ชลบุรี!M494+ชัยนาท!M494+ตราด!M494+นครนายก!M494+นครปฐม!M494+ปทุมธานี!M494+ประจวบคีรีขันธ์!M494+ปราจีนบุรี!M494+พระนครศรีอยุธยา!M494+เพชรบุรี!M494+ระยอง!M494+ราชบุรี!M494+ลพบุรี!M494+สระแก้ว!M494+สระบุรี!M494+สิงห์บุรี!M494+สุพรรณบุรี!M494+อ่างทอง!M494</f>
        <v>8060</v>
      </c>
      <c r="N494" s="52">
        <f t="shared" ca="1" si="45"/>
        <v>5.4108485499462944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3">
        <f>กาญจนบุรี!M495+จันทบุรี!M495+ฉะเชิงเทรา!M495+ชลบุรี!M495+ชัยนาท!M495+ตราด!M495+นครนายก!M495+นครปฐม!M495+ปทุมธานี!M495+ประจวบคีรีขันธ์!M495+ปราจีนบุรี!M495+พระนครศรีอยุธยา!M495+เพชรบุรี!M495+ระยอง!M495+ราชบุรี!M495+ลพบุรี!M495+สระแก้ว!M495+สระบุรี!M495+สิงห์บุรี!M495+สุพรรณบุรี!M495+อ่างทอง!M495</f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3">
        <f>กาญจนบุรี!M496+จันทบุรี!M496+ฉะเชิงเทรา!M496+ชลบุรี!M496+ชัยนาท!M496+ตราด!M496+นครนายก!M496+นครปฐม!M496+ปทุมธานี!M496+ประจวบคีรีขันธ์!M496+ปราจีนบุรี!M496+พระนครศรีอยุธยา!M496+เพชรบุรี!M496+ระยอง!M496+ราชบุรี!M496+ลพบุรี!M496+สระแก้ว!M496+สระบุรี!M496+สิงห์บุรี!M496+สุพรรณบุรี!M496+อ่างทอง!M496</f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f>กาญจนบุรี!M497+จันทบุรี!M497+ฉะเชิงเทรา!M497+ชลบุรี!M497+ชัยนาท!M497+ตราด!M497+นครนายก!M497+นครปฐม!M497+ปทุมธานี!M497+ประจวบคีรีขันธ์!M497+ปราจีนบุรี!M497+พระนครศรีอยุธยา!M497+เพชรบุรี!M497+ระยอง!M497+ราชบุรี!M497+ลพบุรี!M497+สระแก้ว!M497+สระบุรี!M497+สิงห์บุรี!M497+สุพรรณบุรี!M497+อ่างทอง!M497</f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f>กาญจนบุรี!M498+จันทบุรี!M498+ฉะเชิงเทรา!M498+ชลบุรี!M498+ชัยนาท!M498+ตราด!M498+นครนายก!M498+นครปฐม!M498+ปทุมธานี!M498+ประจวบคีรีขันธ์!M498+ปราจีนบุรี!M498+พระนครศรีอยุธยา!M498+เพชรบุรี!M498+ระยอง!M498+ราชบุรี!M498+ลพบุรี!M498+สระแก้ว!M498+สระบุรี!M498+สิงห์บุรี!M498+สุพรรณบุรี!M498+อ่างทอง!M498</f>
        <v>8060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f>กาญจนบุรี!J500+จันทบุรี!J500+ฉะเชิงเทรา!J500+ชลบุรี!J500+ชัยนาท!J500+ตราด!J500+นครนายก!J500+นครปฐม!J500+ปทุมธานี!J500+ประจวบคีรีขันธ์!J500+ปราจีนบุรี!J500+พระนครศรีอยุธยา!J500+เพชรบุรี!J500+ระยอง!J500+ราชบุรี!J500+ลพบุรี!J500+สระแก้ว!J500+สระบุรี!J500+สิงห์บุรี!J500+สุพรรณบุรี!J500+อ่างทอง!J500</f>
        <v>3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f>กาญจนบุรี!J501+จันทบุรี!J501+ฉะเชิงเทรา!J501+ชลบุรี!J501+ชัยนาท!J501+ตราด!J501+นครนายก!J501+นครปฐม!J501+ปทุมธานี!J501+ประจวบคีรีขันธ์!J501+ปราจีนบุรี!J501+พระนครศรีอยุธยา!J501+เพชรบุรี!J501+ระยอง!J501+ราชบุรี!J501+ลพบุรี!J501+สระแก้ว!J501+สระบุรี!J501+สิงห์บุรี!J501+สุพรรณบุรี!J501+อ่างทอง!J501</f>
        <v>7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f>กาญจนบุรี!J502+จันทบุรี!J502+ฉะเชิงเทรา!J502+ชลบุรี!J502+ชัยนาท!J502+ตราด!J502+นครนายก!J502+นครปฐม!J502+ปทุมธานี!J502+ประจวบคีรีขันธ์!J502+ปราจีนบุรี!J502+พระนครศรีอยุธยา!J502+เพชรบุรี!J502+ระยอง!J502+ราชบุรี!J502+ลพบุรี!J502+สระแก้ว!J502+สระบุรี!J502+สิงห์บุรี!J502+สุพรรณบุรี!J502+อ่างทอง!J502</f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f>กาญจนบุรี!J503+จันทบุรี!J503+ฉะเชิงเทรา!J503+ชลบุรี!J503+ชัยนาท!J503+ตราด!J503+นครนายก!J503+นครปฐม!J503+ปทุมธานี!J503+ประจวบคีรีขันธ์!J503+ปราจีนบุรี!J503+พระนครศรีอยุธยา!J503+เพชรบุรี!J503+ระยอง!J503+ราชบุรี!J503+ลพบุรี!J503+สระแก้ว!J503+สระบุรี!J503+สิงห์บุรี!J503+สุพรรณบุรี!J503+อ่างทอง!J503</f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47">
        <f ca="1">กาญจนบุรี!I504+จันทบุรี!I504+ฉะเชิงเทรา!I504+ชลบุรี!I504+ชัยนาท!I504+ตราด!I504+นครนายก!I504+นครปฐม!I504+ปทุมธานี!I504+ประจวบคีรีขันธ์!I504+ปราจีนบุรี!I504+พระนครศรีอยุธยา!I504+เพชรบุรี!I504+ระยอง!I504+ราชบุรี!I504+ลพบุรี!I504+สระแก้ว!I504+สระบุรี!I504+สิงห์บุรี!I504+สุพรรณบุรี!I504+อ่างทอง!I504</f>
        <v>1632</v>
      </c>
      <c r="J504" s="47">
        <f>กาญจนบุรี!J504+จันทบุรี!J504+ฉะเชิงเทรา!J504+ชลบุรี!J504+ชัยนาท!J504+ตราด!J504+นครนายก!J504+นครปฐม!J504+ปทุมธานี!J504+ประจวบคีรีขันธ์!J504+ปราจีนบุรี!J504+พระนครศรีอยุธยา!J504+เพชรบุรี!J504+ระยอง!J504+ราชบุรี!J504+ลพบุรี!J504+สระแก้ว!J504+สระบุรี!J504+สิงห์บุรี!J504+สุพรรณบุรี!J504+อ่างทอง!J504</f>
        <v>0</v>
      </c>
      <c r="K504" s="48">
        <f ca="1">IF(I504&gt;0,J504*100/I504,0)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f>กาญจนบุรี!J505+จันทบุรี!J505+ฉะเชิงเทรา!J505+ชลบุรี!J505+ชัยนาท!J505+ตราด!J505+นครนายก!J505+นครปฐม!J505+ปทุมธานี!J505+ประจวบคีรีขันธ์!J505+ปราจีนบุรี!J505+พระนครศรีอยุธยา!J505+เพชรบุรี!J505+ระยอง!J505+ราชบุรี!J505+ลพบุรี!J505+สระแก้ว!J505+สระบุรี!J505+สิงห์บุรี!J505+สุพรรณบุรี!J505+อ่างทอง!J505</f>
        <v>132.91999999999999</v>
      </c>
      <c r="K505" s="48">
        <f ca="1">+J505*100/I504</f>
        <v>8.1446078431372531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f>กาญจนบุรี!J506+จันทบุรี!J506+ฉะเชิงเทรา!J506+ชลบุรี!J506+ชัยนาท!J506+ตราด!J506+นครนายก!J506+นครปฐม!J506+ปทุมธานี!J506+ประจวบคีรีขันธ์!J506+ปราจีนบุรี!J506+พระนครศรีอยุธยา!J506+เพชรบุรี!J506+ระยอง!J506+ราชบุรี!J506+ลพบุรี!J506+สระแก้ว!J506+สระบุรี!J506+สิงห์บุรี!J506+สุพรรณบุรี!J506+อ่างทอง!J506</f>
        <v>123.04</v>
      </c>
      <c r="K506" s="48">
        <f ca="1">+J506*100/I504</f>
        <v>7.5392156862745097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f>กาญจนบุรี!J507+จันทบุรี!J507+ฉะเชิงเทรา!J507+ชลบุรี!J507+ชัยนาท!J507+ตราด!J507+นครนายก!J507+นครปฐม!J507+ปทุมธานี!J507+ประจวบคีรีขันธ์!J507+ปราจีนบุรี!J507+พระนครศรีอยุธยา!J507+เพชรบุรี!J507+ระยอง!J507+ราชบุรี!J507+ลพบุรี!J507+สระแก้ว!J507+สระบุรี!J507+สิงห์บุรี!J507+สุพรรณบุรี!J507+อ่างทอง!J507</f>
        <v>0</v>
      </c>
      <c r="K507" s="48">
        <f ca="1">+J507*100/I504</f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f>กาญจนบุรี!J508+จันทบุรี!J508+ฉะเชิงเทรา!J508+ชลบุรี!J508+ชัยนาท!J508+ตราด!J508+นครนายก!J508+นครปฐม!J508+ปทุมธานี!J508+ประจวบคีรีขันธ์!J508+ปราจีนบุรี!J508+พระนครศรีอยุธยา!J508+เพชรบุรี!J508+ระยอง!J508+ราชบุรี!J508+ลพบุรี!J508+สระแก้ว!J508+สระบุรี!J508+สิงห์บุรี!J508+สุพรรณบุรี!J508+อ่างทอง!J508</f>
        <v>0</v>
      </c>
      <c r="K508" s="48">
        <f ca="1">+J508*100/I504</f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f>กาญจนบุรี!J509+จันทบุรี!J509+ฉะเชิงเทรา!J509+ชลบุรี!J509+ชัยนาท!J509+ตราด!J509+นครนายก!J509+นครปฐม!J509+ปทุมธานี!J509+ประจวบคีรีขันธ์!J509+ปราจีนบุรี!J509+พระนครศรีอยุธยา!J509+เพชรบุรี!J509+ระยอง!J509+ราชบุรี!J509+ลพบุรี!J509+สระแก้ว!J509+สระบุรี!J509+สิงห์บุรี!J509+สุพรรณบุรี!J509+อ่างทอง!J509</f>
        <v>0</v>
      </c>
      <c r="K509" s="48">
        <f ca="1">+J509*100/I504</f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v>0</v>
      </c>
      <c r="J510" s="66">
        <f>กาญจนบุรี!J510+จันทบุรี!J510+ฉะเชิงเทรา!J510+ชลบุรี!J510+ชัยนาท!J510+ตราด!J510+นครนายก!J510+นครปฐม!J510+ปทุมธานี!J510+ประจวบคีรีขันธ์!J510+ปราจีนบุรี!J510+พระนครศรีอยุธยา!J510+เพชรบุรี!J510+ระยอง!J510+ราชบุรี!J510+ลพบุรี!J510+สระแก้ว!J510+สระบุรี!J510+สิงห์บุรี!J510+สุพรรณบุรี!J510+อ่างทอง!J510</f>
        <v>0</v>
      </c>
      <c r="K510" s="48">
        <f ca="1">+J510*100/I504</f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f>กาญจนบุรี!J511+จันทบุรี!J511+ฉะเชิงเทรา!J511+ชลบุรี!J511+ชัยนาท!J511+ตราด!J511+นครนายก!J511+นครปฐม!J511+ปทุมธานี!J511+ประจวบคีรีขันธ์!J511+ปราจีนบุรี!J511+พระนครศรีอยุธยา!J511+เพชรบุรี!J511+ระยอง!J511+ราชบุรี!J511+ลพบุรี!J511+สระแก้ว!J511+สระบุรี!J511+สิงห์บุรี!J511+สุพรรณบุรี!J511+อ่างทอง!J511</f>
        <v>0</v>
      </c>
      <c r="K511" s="48">
        <f ca="1">+J511*100/I504</f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f>กาญจนบุรี!J512+จันทบุรี!J512+ฉะเชิงเทรา!J512+ชลบุรี!J512+ชัยนาท!J512+ตราด!J512+นครนายก!J512+นครปฐม!J512+ปทุมธานี!J512+ประจวบคีรีขันธ์!J512+ปราจีนบุรี!J512+พระนครศรีอยุธยา!J512+เพชรบุรี!J512+ระยอง!J512+ราชบุรี!J512+ลพบุรี!J512+สระแก้ว!J512+สระบุรี!J512+สิงห์บุรี!J512+สุพรรณบุรี!J512+อ่างทอง!J512</f>
        <v>0</v>
      </c>
      <c r="K512" s="48">
        <f ca="1">+J512*100/I504</f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47">
        <f ca="1">กาญจนบุรี!I513+จันทบุรี!I513+ฉะเชิงเทรา!I513+ชลบุรี!I513+ชัยนาท!I513+ตราด!I513+นครนายก!I513+นครปฐม!I513+ปทุมธานี!I513+ประจวบคีรีขันธ์!I513+ปราจีนบุรี!I513+พระนครศรีอยุธยา!I513+เพชรบุรี!I513+ระยอง!I513+ราชบุรี!I513+ลพบุรี!I513+สระแก้ว!I513+สระบุรี!I513+สิงห์บุรี!I513+สุพรรณบุรี!I513+อ่างทอง!I513</f>
        <v>2051</v>
      </c>
      <c r="J513" s="47">
        <f>กาญจนบุรี!J513+จันทบุรี!J513+ฉะเชิงเทรา!J513+ชลบุรี!J513+ชัยนาท!J513+ตราด!J513+นครนายก!J513+นครปฐม!J513+ปทุมธานี!J513+ประจวบคีรีขันธ์!J513+ปราจีนบุรี!J513+พระนครศรีอยุธยา!J513+เพชรบุรี!J513+ระยอง!J513+ราชบุรี!J513+ลพบุรี!J513+สระแก้ว!J513+สระบุรี!J513+สิงห์บุรี!J513+สุพรรณบุรี!J513+อ่างทอง!J513</f>
        <v>0</v>
      </c>
      <c r="K513" s="48">
        <f ca="1">IF(I513&gt;0,J513*100/I513,0)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66">
        <v>0</v>
      </c>
      <c r="J514" s="47">
        <f>กาญจนบุรี!J514+จันทบุรี!J514+ฉะเชิงเทรา!J514+ชลบุรี!J514+ชัยนาท!J514+ตราด!J514+นครนายก!J514+นครปฐม!J514+ปทุมธานี!J514+ประจวบคีรีขันธ์!J514+ปราจีนบุรี!J514+พระนครศรีอยุธยา!J514+เพชรบุรี!J514+ระยอง!J514+ราชบุรี!J514+ลพบุรี!J514+สระแก้ว!J514+สระบุรี!J514+สิงห์บุรี!J514+สุพรรณบุรี!J514+อ่างทอง!J514</f>
        <v>0</v>
      </c>
      <c r="K514" s="48">
        <f ca="1">IF(I513&gt;0,J514*100/I513,0)</f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f>กาญจนบุรี!J515+จันทบุรี!J515+ฉะเชิงเทรา!J515+ชลบุรี!J515+ชัยนาท!J515+ตราด!J515+นครนายก!J515+นครปฐม!J515+ปทุมธานี!J515+ประจวบคีรีขันธ์!J515+ปราจีนบุรี!J515+พระนครศรีอยุธยา!J515+เพชรบุรี!J515+ระยอง!J515+ราชบุรี!J515+ลพบุรี!J515+สระแก้ว!J515+สระบุรี!J515+สิงห์บุรี!J515+สุพรรณบุรี!J515+อ่างทอง!J515</f>
        <v>0</v>
      </c>
      <c r="K515" s="48">
        <f ca="1">IF(I513&gt;0,J515*100/I513,0)</f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f>กาญจนบุรี!J516+จันทบุรี!J516+ฉะเชิงเทรา!J516+ชลบุรี!J516+ชัยนาท!J516+ตราด!J516+นครนายก!J516+นครปฐม!J516+ปทุมธานี!J516+ประจวบคีรีขันธ์!J516+ปราจีนบุรี!J516+พระนครศรีอยุธยา!J516+เพชรบุรี!J516+ระยอง!J516+ราชบุรี!J516+ลพบุรี!J516+สระแก้ว!J516+สระบุรี!J516+สิงห์บุรี!J516+สุพรรณบุรี!J516+อ่างทอง!J516</f>
        <v>0</v>
      </c>
      <c r="K516" s="48">
        <f ca="1">IF(I513&gt;0,J516*100/I513,0)</f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v>0</v>
      </c>
      <c r="J517" s="66">
        <f>กาญจนบุรี!J517+จันทบุรี!J517+ฉะเชิงเทรา!J517+ชลบุรี!J517+ชัยนาท!J517+ตราด!J517+นครนายก!J517+นครปฐม!J517+ปทุมธานี!J517+ประจวบคีรีขันธ์!J517+ปราจีนบุรี!J517+พระนครศรีอยุธยา!J517+เพชรบุรี!J517+ระยอง!J517+ราชบุรี!J517+ลพบุรี!J517+สระแก้ว!J517+สระบุรี!J517+สิงห์บุรี!J517+สุพรรณบุรี!J517+อ่างทอง!J517</f>
        <v>0</v>
      </c>
      <c r="K517" s="48">
        <f ca="1">IF(I513&gt;0,J517*100/I513,0)</f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f>กาญจนบุรี!J518+จันทบุรี!J518+ฉะเชิงเทรา!J518+ชลบุรี!J518+ชัยนาท!J518+ตราด!J518+นครนายก!J518+นครปฐม!J518+ปทุมธานี!J518+ประจวบคีรีขันธ์!J518+ปราจีนบุรี!J518+พระนครศรีอยุธยา!J518+เพชรบุรี!J518+ระยอง!J518+ราชบุรี!J518+ลพบุรี!J518+สระแก้ว!J518+สระบุรี!J518+สิงห์บุรี!J518+สุพรรณบุรี!J518+อ่างทอง!J518</f>
        <v>0</v>
      </c>
      <c r="K518" s="48">
        <f ca="1">IF(I513&gt;0,J518*100/I513,0)</f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f>กาญจนบุรี!J519+จันทบุรี!J519+ฉะเชิงเทรา!J519+ชลบุรี!J519+ชัยนาท!J519+ตราด!J519+นครนายก!J519+นครปฐม!J519+ปทุมธานี!J519+ประจวบคีรีขันธ์!J519+ปราจีนบุรี!J519+พระนครศรีอยุธยา!J519+เพชรบุรี!J519+ระยอง!J519+ราชบุรี!J519+ลพบุรี!J519+สระแก้ว!J519+สระบุรี!J519+สิงห์บุรี!J519+สุพรรณบุรี!J519+อ่างทอง!J519</f>
        <v>0</v>
      </c>
      <c r="K519" s="48">
        <f ca="1">IF(I513&gt;0,J519*100/I513,0)</f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กาญจนบุรี!I521+จันทบุรี!I521+ฉะเชิงเทรา!I521+ชลบุรี!I521+ชัยนาท!I521+ตราด!I521+นครนายก!I521+นครปฐม!I521+ปทุมธานี!I521+ประจวบคีรีขันธ์!I521+ปราจีนบุรี!I521+พระนครศรีอยุธยา!I521+เพชรบุรี!I521+ระยอง!I521+ราชบุรี!I521+ลพบุรี!I521+สระแก้ว!I521+สระบุรี!I521+สิงห์บุรี!I521+สุพรรณบุรี!I521+อ่างทอง!I521</f>
        <v>96557254.699999988</v>
      </c>
      <c r="J521" s="199">
        <f ca="1">กาญจนบุรี!J521+จันทบุรี!J521+ฉะเชิงเทรา!J521+ชลบุรี!J521+ชัยนาท!J521+ตราด!J521+นครนายก!J521+นครปฐม!J521+ปทุมธานี!J521+ประจวบคีรีขันธ์!J521+ปราจีนบุรี!J521+พระนครศรีอยุธยา!J521+เพชรบุรี!J521+ระยอง!J521+ราชบุรี!J521+ลพบุรี!J521+สระแก้ว!J521+สระบุรี!J521+สิงห์บุรี!J521+สุพรรณบุรี!J521+อ่างทอง!J521</f>
        <v>169093.05</v>
      </c>
      <c r="K521" s="200">
        <f t="shared" ref="K521:K528" ca="1" si="46">IF(I521&gt;0,J521*100/I521,0)</f>
        <v>0.17512205636476119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กาญจนบุรี!I522+จันทบุรี!I522+ฉะเชิงเทรา!I522+ชลบุรี!I522+ชัยนาท!I522+ตราด!I522+นครนายก!I522+นครปฐม!I522+ปทุมธานี!I522+ประจวบคีรีขันธ์!I522+ปราจีนบุรี!I522+พระนครศรีอยุธยา!I522+เพชรบุรี!I522+ระยอง!I522+ราชบุรี!I522+ลพบุรี!I522+สระแก้ว!I522+สระบุรี!I522+สิงห์บุรี!I522+สุพรรณบุรี!I522+อ่างทอง!I522</f>
        <v>3830</v>
      </c>
      <c r="J522" s="199">
        <f ca="1">กาญจนบุรี!J522+จันทบุรี!J522+ฉะเชิงเทรา!J522+ชลบุรี!J522+ชัยนาท!J522+ตราด!J522+นครนายก!J522+นครปฐม!J522+ปทุมธานี!J522+ประจวบคีรีขันธ์!J522+ปราจีนบุรี!J522+พระนครศรีอยุธยา!J522+เพชรบุรี!J522+ระยอง!J522+ราชบุรี!J522+ลพบุรี!J522+สระแก้ว!J522+สระบุรี!J522+สิงห์บุรี!J522+สุพรรณบุรี!J522+อ่างทอง!J522</f>
        <v>21</v>
      </c>
      <c r="K522" s="200">
        <f t="shared" ca="1" si="46"/>
        <v>0.54830287206266315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กาญจนบุรี!I523+จันทบุรี!I523+ฉะเชิงเทรา!I523+ชลบุรี!I523+ชัยนาท!I523+ตราด!I523+นครนายก!I523+นครปฐม!I523+ปทุมธานี!I523+ประจวบคีรีขันธ์!I523+ปราจีนบุรี!I523+พระนครศรีอยุธยา!I523+เพชรบุรี!I523+ระยอง!I523+ราชบุรี!I523+ลพบุรี!I523+สระแก้ว!I523+สระบุรี!I523+สิงห์บุรี!I523+สุพรรณบุรี!I523+อ่างทอง!I523</f>
        <v>133700232.17999978</v>
      </c>
      <c r="J523" s="199">
        <f ca="1">กาญจนบุรี!J523+จันทบุรี!J523+ฉะเชิงเทรา!J523+ชลบุรี!J523+ชัยนาท!J523+ตราด!J523+นครนายก!J523+นครปฐม!J523+ปทุมธานี!J523+ประจวบคีรีขันธ์!J523+ปราจีนบุรี!J523+พระนครศรีอยุธยา!J523+เพชรบุรี!J523+ระยอง!J523+ราชบุรี!J523+ลพบุรี!J523+สระแก้ว!J523+สระบุรี!J523+สิงห์บุรี!J523+สุพรรณบุรี!J523+อ่างทอง!J523</f>
        <v>933630.11999999988</v>
      </c>
      <c r="K523" s="200">
        <f t="shared" ca="1" si="46"/>
        <v>0.69830104613659871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กาญจนบุรี!I524+จันทบุรี!I524+ฉะเชิงเทรา!I524+ชลบุรี!I524+ชัยนาท!I524+ตราด!I524+นครนายก!I524+นครปฐม!I524+ปทุมธานี!I524+ประจวบคีรีขันธ์!I524+ปราจีนบุรี!I524+พระนครศรีอยุธยา!I524+เพชรบุรี!I524+ระยอง!I524+ราชบุรี!I524+ลพบุรี!I524+สระแก้ว!I524+สระบุรี!I524+สิงห์บุรี!I524+สุพรรณบุรี!I524+อ่างทอง!I524</f>
        <v>3770</v>
      </c>
      <c r="J524" s="199">
        <f ca="1">กาญจนบุรี!J524+จันทบุรี!J524+ฉะเชิงเทรา!J524+ชลบุรี!J524+ชัยนาท!J524+ตราด!J524+นครนายก!J524+นครปฐม!J524+ปทุมธานี!J524+ประจวบคีรีขันธ์!J524+ปราจีนบุรี!J524+พระนครศรีอยุธยา!J524+เพชรบุรี!J524+ระยอง!J524+ราชบุรี!J524+ลพบุรี!J524+สระแก้ว!J524+สระบุรี!J524+สิงห์บุรี!J524+สุพรรณบุรี!J524+อ่างทอง!J524</f>
        <v>250</v>
      </c>
      <c r="K524" s="200">
        <f t="shared" ca="1" si="46"/>
        <v>6.6312997347480103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กาญจนบุรี!I525+จันทบุรี!I525+ฉะเชิงเทรา!I525+ชลบุรี!I525+ชัยนาท!I525+ตราด!I525+นครนายก!I525+นครปฐม!I525+ปทุมธานี!I525+ประจวบคีรีขันธ์!I525+ปราจีนบุรี!I525+พระนครศรีอยุธยา!I525+เพชรบุรี!I525+ระยอง!I525+ราชบุรี!I525+ลพบุรี!I525+สระแก้ว!I525+สระบุรี!I525+สิงห์บุรี!I525+สุพรรณบุรี!I525+อ่างทอง!I525</f>
        <v>40682814.210000001</v>
      </c>
      <c r="J525" s="199">
        <f ca="1">กาญจนบุรี!J525+จันทบุรี!J525+ฉะเชิงเทรา!J525+ชลบุรี!J525+ชัยนาท!J525+ตราด!J525+นครนายก!J525+นครปฐม!J525+ปทุมธานี!J525+ประจวบคีรีขันธ์!J525+ปราจีนบุรี!J525+พระนครศรีอยุธยา!J525+เพชรบุรี!J525+ระยอง!J525+ราชบุรี!J525+ลพบุรี!J525+สระแก้ว!J525+สระบุรี!J525+สิงห์บุรี!J525+สุพรรณบุรี!J525+อ่างทอง!J525</f>
        <v>1160820.1400000001</v>
      </c>
      <c r="K525" s="200">
        <f t="shared" ca="1" si="46"/>
        <v>2.8533427751776963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กาญจนบุรี!I526+จันทบุรี!I526+ฉะเชิงเทรา!I526+ชลบุรี!I526+ชัยนาท!I526+ตราด!I526+นครนายก!I526+นครปฐม!I526+ปทุมธานี!I526+ประจวบคีรีขันธ์!I526+ปราจีนบุรี!I526+พระนครศรีอยุธยา!I526+เพชรบุรี!I526+ระยอง!I526+ราชบุรี!I526+ลพบุรี!I526+สระแก้ว!I526+สระบุรี!I526+สิงห์บุรี!I526+สุพรรณบุรี!I526+อ่างทอง!I526</f>
        <v>8350</v>
      </c>
      <c r="J526" s="199">
        <f ca="1">กาญจนบุรี!J526+จันทบุรี!J526+ฉะเชิงเทรา!J526+ชลบุรี!J526+ชัยนาท!J526+ตราด!J526+นครนายก!J526+นครปฐม!J526+ปทุมธานี!J526+ประจวบคีรีขันธ์!J526+ปราจีนบุรี!J526+พระนครศรีอยุธยา!J526+เพชรบุรี!J526+ระยอง!J526+ราชบุรี!J526+ลพบุรี!J526+สระแก้ว!J526+สระบุรี!J526+สิงห์บุรี!J526+สุพรรณบุรี!J526+อ่างทอง!J526</f>
        <v>278</v>
      </c>
      <c r="K526" s="200">
        <f t="shared" ca="1" si="46"/>
        <v>3.3293413173652695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กาญจนบุรี!I527+จันทบุรี!I527+ฉะเชิงเทรา!I527+ชลบุรี!I527+ชัยนาท!I527+ตราด!I527+นครนายก!I527+นครปฐม!I527+ปทุมธานี!I527+ประจวบคีรีขันธ์!I527+ปราจีนบุรี!I527+พระนครศรีอยุธยา!I527+เพชรบุรี!I527+ระยอง!I527+ราชบุรี!I527+ลพบุรี!I527+สระแก้ว!I527+สระบุรี!I527+สิงห์บุรี!I527+สุพรรณบุรี!I527+อ่างทอง!I527</f>
        <v>92475000</v>
      </c>
      <c r="J527" s="199">
        <f ca="1">กาญจนบุรี!J527+จันทบุรี!J527+ฉะเชิงเทรา!J527+ชลบุรี!J527+ชัยนาท!J527+ตราด!J527+นครนายก!J527+นครปฐม!J527+ปทุมธานี!J527+ประจวบคีรีขันธ์!J527+ปราจีนบุรี!J527+พระนครศรีอยุธยา!J527+เพชรบุรี!J527+ระยอง!J527+ราชบุรี!J527+ลพบุรี!J527+สระแก้ว!J527+สระบุรี!J527+สิงห์บุรี!J527+สุพรรณบุรี!J527+อ่างทอง!J527</f>
        <v>0</v>
      </c>
      <c r="K527" s="200">
        <f t="shared" ca="1" si="4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กาญจนบุรี!I528+จันทบุรี!I528+ฉะเชิงเทรา!I528+ชลบุรี!I528+ชัยนาท!I528+ตราด!I528+นครนายก!I528+นครปฐม!I528+ปทุมธานี!I528+ประจวบคีรีขันธ์!I528+ปราจีนบุรี!I528+พระนครศรีอยุธยา!I528+เพชรบุรี!I528+ระยอง!I528+ราชบุรี!I528+ลพบุรี!I528+สระแก้ว!I528+สระบุรี!I528+สิงห์บุรี!I528+สุพรรณบุรี!I528+อ่างทอง!I528</f>
        <v>2690</v>
      </c>
      <c r="J528" s="324">
        <f ca="1">กาญจนบุรี!J528+จันทบุรี!J528+ฉะเชิงเทรา!J528+ชลบุรี!J528+ชัยนาท!J528+ตราด!J528+นครนายก!J528+นครปฐม!J528+ปทุมธานี!J528+ประจวบคีรีขันธ์!J528+ปราจีนบุรี!J528+พระนครศรีอยุธยา!J528+เพชรบุรี!J528+ระยอง!J528+ราชบุรี!J528+ลพบุรี!J528+สระแก้ว!J528+สระบุรี!J528+สิงห์บุรี!J528+สุพรรณบุรี!J528+อ่างทอง!J528</f>
        <v>0</v>
      </c>
      <c r="K528" s="347">
        <f t="shared" ca="1" si="4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8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A5" sqref="A5:G5"/>
      <selection pane="bottomLeft" activeCell="A5" sqref="A5:G5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68" t="s">
        <v>0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</row>
    <row r="2" spans="1:14" ht="18" customHeight="1" x14ac:dyDescent="0.55000000000000004">
      <c r="A2" s="368" t="s">
        <v>231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</row>
    <row r="3" spans="1:14" ht="18" customHeight="1" x14ac:dyDescent="0.55000000000000004">
      <c r="A3" s="368" t="s">
        <v>247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70" t="s">
        <v>4</v>
      </c>
      <c r="B5" s="371"/>
      <c r="C5" s="371"/>
      <c r="D5" s="371"/>
      <c r="E5" s="371"/>
      <c r="F5" s="371"/>
      <c r="G5" s="372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1315605</v>
      </c>
      <c r="M6" s="16">
        <f t="shared" si="0"/>
        <v>40425</v>
      </c>
      <c r="N6" s="17">
        <f ca="1">IF(L6&gt;0,M6*100/L6,0)</f>
        <v>3.0727307968577193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IFERROR(__xludf.DUMMYFUNCTION("IMPORTRANGE(""https://docs.google.com/spreadsheets/d/1C3CXT74ZlgGe6_JY_1olB1XN4rF0dxEuIIF-xsYjHgg/edit?usp=sharing"",""พรบ!C67"")"),0)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66"/>
      <c r="K13" s="232"/>
      <c r="L13" s="52">
        <f ca="1">IFERROR(__xludf.DUMMYFUNCTION("IMPORTRANGE(""https://docs.google.com/spreadsheets/d/1C3CXT74ZlgGe6_JY_1olB1XN4rF0dxEuIIF-xsYjHgg/edit?usp=sharing"",""พรบ!D67"")"),0)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66"/>
      <c r="K14" s="232"/>
      <c r="L14" s="52">
        <f ca="1">IFERROR(__xludf.DUMMYFUNCTION("IMPORTRANGE(""https://docs.google.com/spreadsheets/d/1C3CXT74ZlgGe6_JY_1olB1XN4rF0dxEuIIF-xsYjHgg/edit?usp=sharing"",""พรบ!E67"")"),0)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28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IFERROR(__xludf.DUMMYFUNCTION("IMPORTRANGE(""https://docs.google.com/spreadsheets/d/1C3CXT74ZlgGe6_JY_1olB1XN4rF0dxEuIIF-xsYjHgg/edit?usp=sharing"",""พรบ!H67"")"),0)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IFERROR(__xludf.DUMMYFUNCTION("IMPORTRANGE(""https://docs.google.com/spreadsheets/d/1C3CXT74ZlgGe6_JY_1olB1XN4rF0dxEuIIF-xsYjHgg/edit?usp=sharing"",""พรบ!I67"")"),0)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IFERROR(__xludf.DUMMYFUNCTION("IMPORTRANGE(""https://docs.google.com/spreadsheets/d/1C3CXT74ZlgGe6_JY_1olB1XN4rF0dxEuIIF-xsYjHgg/edit?usp=sharing"",""พรบ!J67"")"),0)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IFERROR(__xludf.DUMMYFUNCTION("IMPORTRANGE(""https://docs.google.com/spreadsheets/d/1C3CXT74ZlgGe6_JY_1olB1XN4rF0dxEuIIF-xsYjHgg/edit?usp=sharing"",""พรบ!K67"")"),0)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IFERROR(__xludf.DUMMYFUNCTION("IMPORTRANGE(""https://docs.google.com/spreadsheets/d/1C3CXT74ZlgGe6_JY_1olB1XN4rF0dxEuIIF-xsYjHgg/edit?usp=sharing"",""พรบ!L67"")"),0)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IFERROR(__xludf.DUMMYFUNCTION("IMPORTRANGE(""https://docs.google.com/spreadsheets/d/1C3CXT74ZlgGe6_JY_1olB1XN4rF0dxEuIIF-xsYjHgg/edit?usp=sharing"",""พรบ!M67"")"),0)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IFERROR(__xludf.DUMMYFUNCTION("IMPORTRANGE(""https://docs.google.com/spreadsheets/d/1C3CXT74ZlgGe6_JY_1olB1XN4rF0dxEuIIF-xsYjHgg/edit?usp=sharing"",""พรบ!N67"")"),0)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6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66"/>
      <c r="K34" s="232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66"/>
      <c r="K35" s="232"/>
      <c r="L35" s="52">
        <f ca="1">IFERROR(__xludf.DUMMYFUNCTION("IMPORTRANGE(""https://docs.google.com/spreadsheets/d/1C3CXT74ZlgGe6_JY_1olB1XN4rF0dxEuIIF-xsYjHgg/edit?usp=sharing"",""พรบ!O67"")"),0)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66"/>
      <c r="K36" s="232"/>
      <c r="L36" s="52">
        <f ca="1">IFERROR(__xludf.DUMMYFUNCTION("IMPORTRANGE(""https://docs.google.com/spreadsheets/d/1C3CXT74ZlgGe6_JY_1olB1XN4rF0dxEuIIF-xsYjHgg/edit?usp=sharing"",""พรบ!P67"")"),0)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IFERROR(__xludf.DUMMYFUNCTION("IMPORTRANGE(""https://docs.google.com/spreadsheets/d/1C3CXT74ZlgGe6_JY_1olB1XN4rF0dxEuIIF-xsYjHgg/edit?usp=sharing"",""พรบ!Q67"")"),0)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52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52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52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52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52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IFERROR(__xludf.DUMMYFUNCTION("IMPORTRANGE(""https://docs.google.com/spreadsheets/d/1C3CXT74ZlgGe6_JY_1olB1XN4rF0dxEuIIF-xsYjHgg/edit?usp=sharing"",""พรบ!R67"")"),0)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52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IFERROR(__xludf.DUMMYFUNCTION("IMPORTRANGE(""https://docs.google.com/spreadsheets/d/1C3CXT74ZlgGe6_JY_1olB1XN4rF0dxEuIIF-xsYjHgg/edit?usp=sharing"",""พรบ!S67"")"),0)</f>
        <v>0</v>
      </c>
      <c r="J44" s="66">
        <v>0</v>
      </c>
      <c r="K44" s="232">
        <f t="shared" ca="1" si="11"/>
        <v>0</v>
      </c>
      <c r="L44" s="52"/>
      <c r="M44" s="52"/>
      <c r="N44" s="52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IFERROR(__xludf.DUMMYFUNCTION("IMPORTRANGE(""https://docs.google.com/spreadsheets/d/1C3CXT74ZlgGe6_JY_1olB1XN4rF0dxEuIIF-xsYjHgg/edit?usp=sharing"",""พรบ!T67"")"),0)</f>
        <v>0</v>
      </c>
      <c r="J45" s="66">
        <v>0</v>
      </c>
      <c r="K45" s="232">
        <f t="shared" ca="1" si="11"/>
        <v>0</v>
      </c>
      <c r="L45" s="52"/>
      <c r="M45" s="52"/>
      <c r="N45" s="52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IFERROR(__xludf.DUMMYFUNCTION("IMPORTRANGE(""https://docs.google.com/spreadsheets/d/1C3CXT74ZlgGe6_JY_1olB1XN4rF0dxEuIIF-xsYjHgg/edit?usp=sharing"",""พรบ!U67"")"),0)</f>
        <v>0</v>
      </c>
      <c r="J46" s="66">
        <v>0</v>
      </c>
      <c r="K46" s="232">
        <f t="shared" ca="1" si="11"/>
        <v>0</v>
      </c>
      <c r="L46" s="52"/>
      <c r="M46" s="52"/>
      <c r="N46" s="52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IFERROR(__xludf.DUMMYFUNCTION("IMPORTRANGE(""https://docs.google.com/spreadsheets/d/1C3CXT74ZlgGe6_JY_1olB1XN4rF0dxEuIIF-xsYjHgg/edit?usp=sharing"",""พรบ!V67"")"),0)</f>
        <v>0</v>
      </c>
      <c r="J47" s="66">
        <v>0</v>
      </c>
      <c r="K47" s="232">
        <f t="shared" ca="1" si="11"/>
        <v>0</v>
      </c>
      <c r="L47" s="52"/>
      <c r="M47" s="52"/>
      <c r="N47" s="52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IFERROR(__xludf.DUMMYFUNCTION("IMPORTRANGE(""https://docs.google.com/spreadsheets/d/1C3CXT74ZlgGe6_JY_1olB1XN4rF0dxEuIIF-xsYjHgg/edit?usp=sharing"",""พรบ!W67"")"),0)</f>
        <v>0</v>
      </c>
      <c r="J48" s="66">
        <v>0</v>
      </c>
      <c r="K48" s="232">
        <f t="shared" ca="1" si="11"/>
        <v>0</v>
      </c>
      <c r="L48" s="52"/>
      <c r="M48" s="52"/>
      <c r="N48" s="52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52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6">
        <v>0</v>
      </c>
      <c r="K50" s="232"/>
      <c r="L50" s="52"/>
      <c r="M50" s="52"/>
      <c r="N50" s="52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66"/>
      <c r="K53" s="232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66"/>
      <c r="K54" s="232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66"/>
      <c r="K55" s="232"/>
      <c r="L55" s="52">
        <f ca="1">IFERROR(__xludf.DUMMYFUNCTION("IMPORTRANGE(""https://docs.google.com/spreadsheets/d/1C3CXT74ZlgGe6_JY_1olB1XN4rF0dxEuIIF-xsYjHgg/edit?usp=sharing"",""พรบ!Y67"")"),0)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IFERROR(__xludf.DUMMYFUNCTION("IMPORTRANGE(""https://docs.google.com/spreadsheets/d/1C3CXT74ZlgGe6_JY_1olB1XN4rF0dxEuIIF-xsYjHgg/edit?usp=sharing"",""พรบ!Z67"")"),0)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246</v>
      </c>
      <c r="E57" s="57"/>
      <c r="F57" s="57"/>
      <c r="G57" s="58"/>
      <c r="H57" s="59"/>
      <c r="I57" s="47"/>
      <c r="J57" s="66"/>
      <c r="K57" s="232"/>
      <c r="L57" s="52"/>
      <c r="M57" s="52"/>
      <c r="N57" s="52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52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52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52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52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IFERROR(__xludf.DUMMYFUNCTION("IMPORTRANGE(""https://docs.google.com/spreadsheets/d/1C3CXT74ZlgGe6_JY_1olB1XN4rF0dxEuIIF-xsYjHgg/edit?usp=sharing"",""พรบ!AA67"")"),0)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52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52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52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7">
        <v>0</v>
      </c>
      <c r="K65" s="358"/>
      <c r="L65" s="359"/>
      <c r="M65" s="359"/>
      <c r="N65" s="359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30</v>
      </c>
      <c r="J68" s="136">
        <f t="shared" si="15"/>
        <v>30</v>
      </c>
      <c r="K68" s="137">
        <f ca="1">IF(I68&gt;0,J68*100/I68,0)</f>
        <v>100</v>
      </c>
      <c r="L68" s="138">
        <f t="shared" ref="L68:M68" ca="1" si="16">SUM(L70:L71)</f>
        <v>668300</v>
      </c>
      <c r="M68" s="138">
        <f t="shared" si="16"/>
        <v>19300</v>
      </c>
      <c r="N68" s="137">
        <f ca="1">IF(L68&gt;0,M68*100/L68,0)</f>
        <v>2.8879245847673203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668300</v>
      </c>
      <c r="M71" s="139">
        <f>SUM(M72:M73)</f>
        <v>19300</v>
      </c>
      <c r="N71" s="49">
        <f t="shared" ca="1" si="17"/>
        <v>2.8879245847673203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IFERROR(__xludf.DUMMYFUNCTION("IMPORTRANGE(""https://docs.google.com/spreadsheets/d/1C3CXT74ZlgGe6_JY_1olB1XN4rF0dxEuIIF-xsYjHgg/edit?usp=sharing"",""พรบ!AD67"")"),448300)</f>
        <v>448300</v>
      </c>
      <c r="M72" s="53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220000</v>
      </c>
      <c r="M73" s="52">
        <f t="shared" si="18"/>
        <v>19300</v>
      </c>
      <c r="N73" s="52">
        <f t="shared" ca="1" si="17"/>
        <v>8.7727272727272734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IFERROR(__xludf.DUMMYFUNCTION("IMPORTRANGE(""https://docs.google.com/spreadsheets/d/1C3CXT74ZlgGe6_JY_1olB1XN4rF0dxEuIIF-xsYjHgg/edit?usp=sharing"",""พรบ!AF67"")"),7500)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1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1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IFERROR(__xludf.DUMMYFUNCTION("IMPORTRANGE(""https://docs.google.com/spreadsheets/d/1C3CXT74ZlgGe6_JY_1olB1XN4rF0dxEuIIF-xsYjHgg/edit?usp=sharing"",""พรบ!AG67"")"),4)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1</v>
      </c>
      <c r="J89" s="149">
        <f t="shared" si="21"/>
        <v>0</v>
      </c>
      <c r="K89" s="150">
        <f ca="1">IF(I89&gt;0,J89*100/I89,0)</f>
        <v>0</v>
      </c>
      <c r="L89" s="147">
        <f ca="1">L90+L91</f>
        <v>14000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14000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IFERROR(__xludf.DUMMYFUNCTION("IMPORTRANGE(""https://docs.google.com/spreadsheets/d/1C3CXT74ZlgGe6_JY_1olB1XN4rF0dxEuIIF-xsYjHgg/edit?usp=sharing"",""พรบ!AH67"")"),14000)</f>
        <v>14000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1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IFERROR(__xludf.DUMMYFUNCTION("IMPORTRANGE(""https://docs.google.com/spreadsheets/d/1C3CXT74ZlgGe6_JY_1olB1XN4rF0dxEuIIF-xsYjHgg/edit?usp=sharing"",""พรบ!AI67"")"),1)</f>
        <v>1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IFERROR(__xludf.DUMMYFUNCTION("IMPORTRANGE(""https://docs.google.com/spreadsheets/d/1C3CXT74ZlgGe6_JY_1olB1XN4rF0dxEuIIF-xsYjHgg/edit?usp=sharing"",""กปร!C67"")"),12000)</f>
        <v>12000</v>
      </c>
      <c r="M98" s="53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IFERROR(__xludf.DUMMYFUNCTION("IMPORTRANGE(""https://docs.google.com/spreadsheets/d/1C3CXT74ZlgGe6_JY_1olB1XN4rF0dxEuIIF-xsYjHgg/edit?usp=sharing"",""พรบ!AJ67"")"),0)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IFERROR(__xludf.DUMMYFUNCTION("IMPORTRANGE(""https://docs.google.com/spreadsheets/d/1C3CXT74ZlgGe6_JY_1olB1XN4rF0dxEuIIF-xsYjHgg/edit?usp=sharing"",""พรบ!AK67"")"),0)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IFERROR(__xludf.DUMMYFUNCTION("IMPORTRANGE(""https://docs.google.com/spreadsheets/d/1C3CXT74ZlgGe6_JY_1olB1XN4rF0dxEuIIF-xsYjHgg/edit?usp=sharing"",""กปร!D67"")"),0)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IFERROR(__xludf.DUMMYFUNCTION("IMPORTRANGE(""https://docs.google.com/spreadsheets/d/1C3CXT74ZlgGe6_JY_1olB1XN4rF0dxEuIIF-xsYjHgg/edit?usp=sharing"",""พรบ!AL67"")"),0)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IFERROR(__xludf.DUMMYFUNCTION("IMPORTRANGE(""https://docs.google.com/spreadsheets/d/1C3CXT74ZlgGe6_JY_1olB1XN4rF0dxEuIIF-xsYjHgg/edit?usp=sharing"",""กปร!E67"")"),0)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6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20000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7500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7500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IFERROR(__xludf.DUMMYFUNCTION("IMPORTRANGE(""https://docs.google.com/spreadsheets/d/1C3CXT74ZlgGe6_JY_1olB1XN4rF0dxEuIIF-xsYjHgg/edit?usp=sharing"",""พรบ!AM67"")"),7500)</f>
        <v>7500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1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1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IFERROR(__xludf.DUMMYFUNCTION("IMPORTRANGE(""https://docs.google.com/spreadsheets/d/1C3CXT74ZlgGe6_JY_1olB1XN4rF0dxEuIIF-xsYjHgg/edit?usp=sharing"",""พรบ!AO67"")"),20000)</f>
        <v>20000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IFERROR(__xludf.DUMMYFUNCTION("IMPORTRANGE(""https://docs.google.com/spreadsheets/d/1C3CXT74ZlgGe6_JY_1olB1XN4rF0dxEuIIF-xsYjHgg/edit?usp=sharing"",""พรบ!AP67"")"),20000)</f>
        <v>20000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IFERROR(__xludf.DUMMYFUNCTION("IMPORTRANGE(""https://docs.google.com/spreadsheets/d/1C3CXT74ZlgGe6_JY_1olB1XN4rF0dxEuIIF-xsYjHgg/edit?usp=sharing"",""กปร!F67"")"),3500)</f>
        <v>3500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IFERROR(__xludf.DUMMYFUNCTION("IMPORTRANGE(""https://docs.google.com/spreadsheets/d/1C3CXT74ZlgGe6_JY_1olB1XN4rF0dxEuIIF-xsYjHgg/edit?usp=sharing"",""พรบ!AQ67"")"),0)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IFERROR(__xludf.DUMMYFUNCTION("IMPORTRANGE(""https://docs.google.com/spreadsheets/d/1C3CXT74ZlgGe6_JY_1olB1XN4rF0dxEuIIF-xsYjHgg/edit?usp=sharing"",""กปร!G67"")"),0)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229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30</v>
      </c>
      <c r="J129" s="149">
        <f t="shared" si="32"/>
        <v>30</v>
      </c>
      <c r="K129" s="150">
        <f ca="1">IF(I129&gt;0,J129*100/I129,0)</f>
        <v>100</v>
      </c>
      <c r="L129" s="147">
        <f ca="1">L130+L131</f>
        <v>191000</v>
      </c>
      <c r="M129" s="147">
        <f>SUM(M130:M131)</f>
        <v>19300</v>
      </c>
      <c r="N129" s="147">
        <f t="shared" ref="N129:N132" ca="1" si="33">+IF(L129&gt;0,M129*100/L129,0)</f>
        <v>10.104712041884817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191000</v>
      </c>
      <c r="M131" s="49">
        <f>M132</f>
        <v>19300</v>
      </c>
      <c r="N131" s="49">
        <f t="shared" ca="1" si="33"/>
        <v>10.104712041884817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47"/>
      <c r="K132" s="48"/>
      <c r="L132" s="52">
        <f ca="1">IFERROR(__xludf.DUMMYFUNCTION("IMPORTRANGE(""https://docs.google.com/spreadsheets/d/1C3CXT74ZlgGe6_JY_1olB1XN4rF0dxEuIIF-xsYjHgg/edit?usp=sharing"",""พรบ!AR67"")"),191000)</f>
        <v>191000</v>
      </c>
      <c r="M132" s="53">
        <v>19300</v>
      </c>
      <c r="N132" s="52">
        <f t="shared" ca="1" si="33"/>
        <v>10.104712041884817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47"/>
      <c r="K133" s="48"/>
      <c r="L133" s="60"/>
      <c r="M133" s="60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7">
        <v>0</v>
      </c>
      <c r="K134" s="48"/>
      <c r="L134" s="60"/>
      <c r="M134" s="60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7">
        <v>1</v>
      </c>
      <c r="K135" s="48"/>
      <c r="L135" s="60" t="s">
        <v>21</v>
      </c>
      <c r="M135" s="60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7">
        <v>1</v>
      </c>
      <c r="K136" s="48"/>
      <c r="L136" s="60"/>
      <c r="M136" s="60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7">
        <v>1</v>
      </c>
      <c r="K137" s="48"/>
      <c r="L137" s="60"/>
      <c r="M137" s="60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IFERROR(__xludf.DUMMYFUNCTION("IMPORTRANGE(""https://docs.google.com/spreadsheets/d/1C3CXT74ZlgGe6_JY_1olB1XN4rF0dxEuIIF-xsYjHgg/edit?usp=sharing"",""พรบ!AS67"")"),30)</f>
        <v>30</v>
      </c>
      <c r="J138" s="67">
        <v>30</v>
      </c>
      <c r="K138" s="48">
        <f ca="1">IF(I138&gt;0,J138*100/I138,0)</f>
        <v>100</v>
      </c>
      <c r="L138" s="52">
        <f ca="1">IFERROR(__xludf.DUMMYFUNCTION("IMPORTRANGE(""https://docs.google.com/spreadsheets/d/1C3CXT74ZlgGe6_JY_1olB1XN4rF0dxEuIIF-xsYjHgg/edit?usp=sharing"",""กปร!H67"")"),37000)</f>
        <v>37000</v>
      </c>
      <c r="M138" s="361">
        <v>19300</v>
      </c>
      <c r="N138" s="52">
        <f ca="1">+IF(L138&gt;0,M138*100/L138,0)</f>
        <v>52.162162162162161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48"/>
      <c r="L139" s="60"/>
      <c r="M139" s="60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IFERROR(__xludf.DUMMYFUNCTION("IMPORTRANGE(""https://docs.google.com/spreadsheets/d/1C3CXT74ZlgGe6_JY_1olB1XN4rF0dxEuIIF-xsYjHgg/edit?usp=sharing"",""พรบ!AT67"")"),1)</f>
        <v>1</v>
      </c>
      <c r="J140" s="66">
        <v>0</v>
      </c>
      <c r="K140" s="48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IFERROR(__xludf.DUMMYFUNCTION("IMPORTRANGE(""https://docs.google.com/spreadsheets/d/1C3CXT74ZlgGe6_JY_1olB1XN4rF0dxEuIIF-xsYjHgg/edit?usp=sharing"",""กปร!I67"")"),0)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IFERROR(__xludf.DUMMYFUNCTION("IMPORTRANGE(""https://docs.google.com/spreadsheets/d/1C3CXT74ZlgGe6_JY_1olB1XN4rF0dxEuIIF-xsYjHgg/edit?usp=sharing"",""พรบ!AU67"")"),0)</f>
        <v>0</v>
      </c>
      <c r="J141" s="66">
        <v>0</v>
      </c>
      <c r="K141" s="48">
        <f t="shared" ca="1" si="34"/>
        <v>0</v>
      </c>
      <c r="L141" s="52">
        <f ca="1">IFERROR(__xludf.DUMMYFUNCTION("IMPORTRANGE(""https://docs.google.com/spreadsheets/d/1C3CXT74ZlgGe6_JY_1olB1XN4rF0dxEuIIF-xsYjHgg/edit?usp=sharing"",""กปร!J67"")"),0)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7">
        <v>0</v>
      </c>
      <c r="K142" s="48"/>
      <c r="L142" s="60"/>
      <c r="M142" s="60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112">
        <v>0</v>
      </c>
      <c r="K143" s="113"/>
      <c r="L143" s="114"/>
      <c r="M143" s="114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15</v>
      </c>
      <c r="J144" s="136">
        <f t="shared" si="36"/>
        <v>15</v>
      </c>
      <c r="K144" s="137">
        <f ca="1">IF(I144&gt;0,J144*100/I144,0)</f>
        <v>100</v>
      </c>
      <c r="L144" s="138">
        <f ca="1">L145+L146</f>
        <v>21125</v>
      </c>
      <c r="M144" s="138">
        <f>SUM(M145:M146)</f>
        <v>21125</v>
      </c>
      <c r="N144" s="137">
        <f ca="1">IF(L144&gt;0,M144*100/L144,0)</f>
        <v>100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21125</v>
      </c>
      <c r="M146" s="49">
        <f t="shared" si="38"/>
        <v>21125</v>
      </c>
      <c r="N146" s="49">
        <f t="shared" ca="1" si="37"/>
        <v>100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IFERROR(__xludf.DUMMYFUNCTION("IMPORTRANGE(""https://docs.google.com/spreadsheets/d/1C3CXT74ZlgGe6_JY_1olB1XN4rF0dxEuIIF-xsYjHgg/edit?usp=sharing"",""พรบ!AY67"")"),21125)</f>
        <v>21125</v>
      </c>
      <c r="M148" s="53">
        <v>21125</v>
      </c>
      <c r="N148" s="52">
        <f t="shared" ca="1" si="37"/>
        <v>100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15</v>
      </c>
      <c r="J149" s="136">
        <f>+J155</f>
        <v>15</v>
      </c>
      <c r="K149" s="137">
        <f ca="1">IF(I149&gt;0,J149*100/I149,0)</f>
        <v>100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1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1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IFERROR(__xludf.DUMMYFUNCTION("IMPORTRANGE(""https://docs.google.com/spreadsheets/d/1C3CXT74ZlgGe6_JY_1olB1XN4rF0dxEuIIF-xsYjHgg/edit?usp=sharing"",""พรบ!BA67"")"),15)</f>
        <v>15</v>
      </c>
      <c r="J155" s="67">
        <v>15</v>
      </c>
      <c r="K155" s="48">
        <f ca="1">IF(I155&gt;0,J155*100/I155,0)</f>
        <v>100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66"/>
      <c r="K172" s="232"/>
      <c r="L172" s="52">
        <f ca="1">IFERROR(__xludf.DUMMYFUNCTION("IMPORTRANGE(""https://docs.google.com/spreadsheets/d/1C3CXT74ZlgGe6_JY_1olB1XN4rF0dxEuIIF-xsYjHgg/edit?usp=sharing"",""พรบ!BD67"")"),0)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66"/>
      <c r="K173" s="232"/>
      <c r="L173" s="52">
        <f ca="1">IFERROR(__xludf.DUMMYFUNCTION("IMPORTRANGE(""https://docs.google.com/spreadsheets/d/1C3CXT74ZlgGe6_JY_1olB1XN4rF0dxEuIIF-xsYjHgg/edit?usp=sharing"",""พรบ!BE67"")"),0)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IFERROR(__xludf.DUMMYFUNCTION("IMPORTRANGE(""https://docs.google.com/spreadsheets/d/1C3CXT74ZlgGe6_JY_1olB1XN4rF0dxEuIIF-xsYjHgg/edit?usp=sharing"",""พรบ!BF67"")"),0)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IFERROR(__xludf.DUMMYFUNCTION("IMPORTRANGE(""https://docs.google.com/spreadsheets/d/1C3CXT74ZlgGe6_JY_1olB1XN4rF0dxEuIIF-xsYjHgg/edit?usp=sharing"",""พรบ!BG67"")"),0)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IFERROR(__xludf.DUMMYFUNCTION("IMPORTRANGE(""https://docs.google.com/spreadsheets/d/1C3CXT74ZlgGe6_JY_1olB1XN4rF0dxEuIIF-xsYjHgg/edit?usp=sharing"",""พรบ!BH67"")"),0)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IFERROR(__xludf.DUMMYFUNCTION("IMPORTRANGE(""https://docs.google.com/spreadsheets/d/1C3CXT74ZlgGe6_JY_1olB1XN4rF0dxEuIIF-xsYjHgg/edit?usp=sharing"",""พรบ!BI67"")"),0)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7">
        <v>0</v>
      </c>
      <c r="K184" s="358"/>
      <c r="L184" s="359"/>
      <c r="M184" s="359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15</v>
      </c>
      <c r="J185" s="177">
        <f>+J195</f>
        <v>0</v>
      </c>
      <c r="K185" s="178">
        <f ca="1">IF(I185&gt;0,J185*100/I185,0)</f>
        <v>0</v>
      </c>
      <c r="L185" s="179">
        <f ca="1">L186+L187</f>
        <v>55200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55200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IFERROR(__xludf.DUMMYFUNCTION("IMPORTRANGE(""https://docs.google.com/spreadsheets/d/1C3CXT74ZlgGe6_JY_1olB1XN4rF0dxEuIIF-xsYjHgg/edit?usp=sharing"",""พรบ!BK67"")"),0)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IFERROR(__xludf.DUMMYFUNCTION("IMPORTRANGE(""https://docs.google.com/spreadsheets/d/1C3CXT74ZlgGe6_JY_1olB1XN4rF0dxEuIIF-xsYjHgg/edit?usp=sharing"",""พรบ!BL67"")"),55200)</f>
        <v>55200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1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0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IFERROR(__xludf.DUMMYFUNCTION("IMPORTRANGE(""https://docs.google.com/spreadsheets/d/1C3CXT74ZlgGe6_JY_1olB1XN4rF0dxEuIIF-xsYjHgg/edit?usp=sharing"",""พรบ!BM67"")"),15)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IFERROR(__xludf.DUMMYFUNCTION("IMPORTRANGE(""https://docs.google.com/spreadsheets/d/1C3CXT74ZlgGe6_JY_1olB1XN4rF0dxEuIIF-xsYjHgg/edit?usp=sharing"",""พรบ!BP67"")"),0)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IFERROR(__xludf.DUMMYFUNCTION("IMPORTRANGE(""https://docs.google.com/spreadsheets/d/1C3CXT74ZlgGe6_JY_1olB1XN4rF0dxEuIIF-xsYjHgg/edit?usp=sharing"",""พรบ!BQ67"")"),0)</f>
        <v>0</v>
      </c>
      <c r="J209" s="66">
        <v>0</v>
      </c>
      <c r="K209" s="232">
        <f>IF(I679&gt;0,J679*100/I679,0)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IFERROR(__xludf.DUMMYFUNCTION("IMPORTRANGE(""https://docs.google.com/spreadsheets/d/1C3CXT74ZlgGe6_JY_1olB1XN4rF0dxEuIIF-xsYjHgg/edit?usp=sharing"",""พรบ!BR67"")"),0)</f>
        <v>0</v>
      </c>
      <c r="J211" s="66">
        <v>0</v>
      </c>
      <c r="K211" s="232">
        <f>IF(I681&gt;0,J681*100/I681,0)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IFERROR(__xludf.DUMMYFUNCTION("IMPORTRANGE(""https://docs.google.com/spreadsheets/d/1C3CXT74ZlgGe6_JY_1olB1XN4rF0dxEuIIF-xsYjHgg/edit?usp=sharing"",""พรบ!BU67"")"),0)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IFERROR(__xludf.DUMMYFUNCTION("IMPORTRANGE(""https://docs.google.com/spreadsheets/d/1C3CXT74ZlgGe6_JY_1olB1XN4rF0dxEuIIF-xsYjHgg/edit?usp=sharing"",""พรบ!BV67"")"),0)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0</v>
      </c>
      <c r="J228" s="197">
        <f ca="1">J240</f>
        <v>0</v>
      </c>
      <c r="K228" s="178">
        <f ca="1">IF(I228&gt;0,J228*100/I228,0)</f>
        <v>0</v>
      </c>
      <c r="L228" s="179">
        <f ca="1">L229+L230</f>
        <v>570980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570980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IFERROR(__xludf.DUMMYFUNCTION("IMPORTRANGE(""https://docs.google.com/spreadsheets/d/1C3CXT74ZlgGe6_JY_1olB1XN4rF0dxEuIIF-xsYjHgg/edit?usp=sharing"",""พรบ!BX67"")"),388800)</f>
        <v>388800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IFERROR(__xludf.DUMMYFUNCTION("IMPORTRANGE(""https://docs.google.com/spreadsheets/d/1C3CXT74ZlgGe6_JY_1olB1XN4rF0dxEuIIF-xsYjHgg/edit?usp=sharing"",""พรบ!BY67"")"),182180)</f>
        <v>182180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IFERROR(__xludf.DUMMYFUNCTION("IMPORTRANGE(""https://docs.google.com/spreadsheets/d/1AGHcLOeeYFL3K4b9R1dSzyJy00PE_ra89DNTVfnxSWM/edit?usp=sharing"",""รวมที่ทำกิน!J56"")"),0)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IFERROR(__xludf.DUMMYFUNCTION("IMPORTRANGE(""https://docs.google.com/spreadsheets/d/1C3CXT74ZlgGe6_JY_1olB1XN4rF0dxEuIIF-xsYjHgg/edit?usp=sharing"",""พรบ!BZ67"")"),0)</f>
        <v>0</v>
      </c>
      <c r="J235" s="66">
        <f ca="1">IFERROR(__xludf.DUMMYFUNCTION("IMPORTRANGE(""https://docs.google.com/spreadsheets/d/1AGHcLOeeYFL3K4b9R1dSzyJy00PE_ra89DNTVfnxSWM/edit?usp=sharing"",""รวมที่ทำกิน!L56"")"),0)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IFERROR(__xludf.DUMMYFUNCTION("IMPORTRANGE(""https://docs.google.com/spreadsheets/d/1C3CXT74ZlgGe6_JY_1olB1XN4rF0dxEuIIF-xsYjHgg/edit?usp=sharing"",""พรบ!CA67"")"),0)</f>
        <v>0</v>
      </c>
      <c r="J236" s="66">
        <f ca="1">IFERROR(__xludf.DUMMYFUNCTION("IMPORTRANGE(""https://docs.google.com/spreadsheets/d/1AGHcLOeeYFL3K4b9R1dSzyJy00PE_ra89DNTVfnxSWM/edit?usp=sharing"",""รวมที่ทำกิน!O56"")"),0)</f>
        <v>0</v>
      </c>
      <c r="K236" s="200">
        <f t="shared" ca="1" si="52"/>
        <v>0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IFERROR(__xludf.DUMMYFUNCTION("IMPORTRANGE(""https://docs.google.com/spreadsheets/d/1AGHcLOeeYFL3K4b9R1dSzyJy00PE_ra89DNTVfnxSWM/edit?usp=sharing"",""รวมที่ทำกิน!Q56"")"),0)</f>
        <v>0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IFERROR(__xludf.DUMMYFUNCTION("IMPORTRANGE(""https://docs.google.com/spreadsheets/d/1C3CXT74ZlgGe6_JY_1olB1XN4rF0dxEuIIF-xsYjHgg/edit?usp=sharing"",""พรบ!CB67"")"),0)</f>
        <v>0</v>
      </c>
      <c r="J238" s="66">
        <f ca="1">IFERROR(__xludf.DUMMYFUNCTION("IMPORTRANGE(""https://docs.google.com/spreadsheets/d/1AGHcLOeeYFL3K4b9R1dSzyJy00PE_ra89DNTVfnxSWM/edit?usp=sharing"",""รวมที่ทำกิน!S56"")"),0)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IFERROR(__xludf.DUMMYFUNCTION("IMPORTRANGE(""https://docs.google.com/spreadsheets/d/1AGHcLOeeYFL3K4b9R1dSzyJy00PE_ra89DNTVfnxSWM/edit?usp=sharing"",""รวมที่ทำกิน!U56"")"),0)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IFERROR(__xludf.DUMMYFUNCTION("IMPORTRANGE(""https://docs.google.com/spreadsheets/d/1C3CXT74ZlgGe6_JY_1olB1XN4rF0dxEuIIF-xsYjHgg/edit?usp=sharing"",""พรบ!CC67"")"),0)</f>
        <v>0</v>
      </c>
      <c r="J240" s="66">
        <f ca="1">IFERROR(__xludf.DUMMYFUNCTION("IMPORTRANGE(""https://docs.google.com/spreadsheets/d/1AGHcLOeeYFL3K4b9R1dSzyJy00PE_ra89DNTVfnxSWM/edit?usp=sharing"",""รวมที่ทำกิน!W56"")"),0)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IFERROR(__xludf.DUMMYFUNCTION("IMPORTRANGE(""https://docs.google.com/spreadsheets/d/1AGHcLOeeYFL3K4b9R1dSzyJy00PE_ra89DNTVfnxSWM/edit?usp=sharing"",""รวมที่ทำกิน!Y56"")"),0)</f>
        <v>0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560890</v>
      </c>
      <c r="M242" s="213">
        <f t="shared" si="53"/>
        <v>57666.020000000004</v>
      </c>
      <c r="N242" s="213">
        <f ca="1">+IF(L242&gt;0,M242*100/L242,0)</f>
        <v>10.281163864572376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12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47160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6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47160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IFERROR(__xludf.DUMMYFUNCTION("IMPORTRANGE(""https://docs.google.com/spreadsheets/d/1C3CXT74ZlgGe6_JY_1olB1XN4rF0dxEuIIF-xsYjHgg/edit?usp=sharing"",""งบกองทุน!d67"")"),0)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IFERROR(__xludf.DUMMYFUNCTION("IMPORTRANGE(""https://docs.google.com/spreadsheets/d/1C3CXT74ZlgGe6_JY_1olB1XN4rF0dxEuIIF-xsYjHgg/edit?usp=sharing"",""งบกองทุน!e67"")"),47160)</f>
        <v>47160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1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0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0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IFERROR(__xludf.DUMMYFUNCTION("IMPORTRANGE(""https://docs.google.com/spreadsheets/d/1C3CXT74ZlgGe6_JY_1olB1XN4rF0dxEuIIF-xsYjHgg/edit?usp=sharing"",""งบกองทุน!f67"")"),0)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12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IFERROR(__xludf.DUMMYFUNCTION("IMPORTRANGE(""https://docs.google.com/spreadsheets/d/1C3CXT74ZlgGe6_JY_1olB1XN4rF0dxEuIIF-xsYjHgg/edit?usp=sharing"",""งบกองทุน!H67"")"),6)</f>
        <v>6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IFERROR(__xludf.DUMMYFUNCTION("IMPORTRANGE(""https://docs.google.com/spreadsheets/d/1C3CXT74ZlgGe6_JY_1olB1XN4rF0dxEuIIF-xsYjHgg/edit?usp=sharing"",""งบกองทุน!i67"")"),0)</f>
        <v>0</v>
      </c>
      <c r="J264" s="66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6</v>
      </c>
      <c r="J265" s="66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IFERROR(__xludf.DUMMYFUNCTION("IMPORTRANGE(""https://docs.google.com/spreadsheets/d/1C3CXT74ZlgGe6_JY_1olB1XN4rF0dxEuIIF-xsYjHgg/edit?usp=sharing"",""งบกองทุน!k67"")"),12)</f>
        <v>12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6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IFERROR(__xludf.DUMMYFUNCTION("IMPORTRANGE(""https://docs.google.com/spreadsheets/d/1C3CXT74ZlgGe6_JY_1olB1XN4rF0dxEuIIF-xsYjHgg/edit?usp=sharing"",""งบกองทุน!m67"")"),0)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12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IFERROR(__xludf.DUMMYFUNCTION("IMPORTRANGE(""https://docs.google.com/spreadsheets/d/1C3CXT74ZlgGe6_JY_1olB1XN4rF0dxEuIIF-xsYjHgg/edit?usp=sharing"",""งบกองทุน!o67"")"),12)</f>
        <v>12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IFERROR(__xludf.DUMMYFUNCTION("IMPORTRANGE(""https://docs.google.com/spreadsheets/d/1C3CXT74ZlgGe6_JY_1olB1XN4rF0dxEuIIF-xsYjHgg/edit?usp=sharing"",""งบกองทุน!p67"")"),0)</f>
        <v>0</v>
      </c>
      <c r="J272" s="66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50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87710</v>
      </c>
      <c r="M275" s="228">
        <f t="shared" si="64"/>
        <v>32279</v>
      </c>
      <c r="N275" s="228">
        <f ca="1">+IF(L275&gt;0,M275*100/L275,0)</f>
        <v>36.801961007866836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5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87710</v>
      </c>
      <c r="M278" s="49">
        <f t="shared" si="66"/>
        <v>32279</v>
      </c>
      <c r="N278" s="49">
        <f t="shared" ca="1" si="65"/>
        <v>36.801961007866836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IFERROR(__xludf.DUMMYFUNCTION("IMPORTRANGE(""https://docs.google.com/spreadsheets/d/1C3CXT74ZlgGe6_JY_1olB1XN4rF0dxEuIIF-xsYjHgg/edit?usp=sharing"",""งบกองทุน!r67"")"),0)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IFERROR(__xludf.DUMMYFUNCTION("IMPORTRANGE(""https://docs.google.com/spreadsheets/d/1C3CXT74ZlgGe6_JY_1olB1XN4rF0dxEuIIF-xsYjHgg/edit?usp=sharing"",""งบกองทุน!s67"")"),87710)</f>
        <v>87710</v>
      </c>
      <c r="M280" s="52">
        <f>SUM(M281:M284)</f>
        <v>32279</v>
      </c>
      <c r="N280" s="52">
        <f t="shared" ca="1" si="65"/>
        <v>36.801961007866836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30409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1870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1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1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IFERROR(__xludf.DUMMYFUNCTION("IMPORTRANGE(""https://docs.google.com/spreadsheets/d/1C3CXT74ZlgGe6_JY_1olB1XN4rF0dxEuIIF-xsYjHgg/edit?usp=sharing"",""งบกองทุน!v67"")"),5)</f>
        <v>5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IFERROR(__xludf.DUMMYFUNCTION("IMPORTRANGE(""https://docs.google.com/spreadsheets/d/1C3CXT74ZlgGe6_JY_1olB1XN4rF0dxEuIIF-xsYjHgg/edit?usp=sharing"",""งบกองทุน!w67"")"),50)</f>
        <v>50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IFERROR(__xludf.DUMMYFUNCTION("IMPORTRANGE(""https://docs.google.com/spreadsheets/d/1C3CXT74ZlgGe6_JY_1olB1XN4rF0dxEuIIF-xsYjHgg/edit?usp=sharing"",""งบกองทุน!x67"")"),5)</f>
        <v>5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135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187300</v>
      </c>
      <c r="M296" s="228">
        <f t="shared" si="69"/>
        <v>1000</v>
      </c>
      <c r="N296" s="228">
        <f ca="1">+IF(L296&gt;0,M296*100/L296,0)</f>
        <v>0.53390282968499736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45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187300</v>
      </c>
      <c r="M299" s="52">
        <f t="shared" si="71"/>
        <v>1000</v>
      </c>
      <c r="N299" s="52">
        <f t="shared" ca="1" si="70"/>
        <v>0.53390282968499736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IFERROR(__xludf.DUMMYFUNCTION("IMPORTRANGE(""https://docs.google.com/spreadsheets/d/1C3CXT74ZlgGe6_JY_1olB1XN4rF0dxEuIIF-xsYjHgg/edit?usp=sharing"",""งบกองทุน!z67"")"),0)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IFERROR(__xludf.DUMMYFUNCTION("IMPORTRANGE(""https://docs.google.com/spreadsheets/d/1C3CXT74ZlgGe6_JY_1olB1XN4rF0dxEuIIF-xsYjHgg/edit?usp=sharing"",""งบกองทุน!aa67"")"),187300)</f>
        <v>187300</v>
      </c>
      <c r="M301" s="52">
        <f>SUM(M302:M305)</f>
        <v>1000</v>
      </c>
      <c r="N301" s="52">
        <f t="shared" ca="1" si="70"/>
        <v>0.53390282968499736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1000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1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45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IFERROR(__xludf.DUMMYFUNCTION("IMPORTRANGE(""https://docs.google.com/spreadsheets/d/1C3CXT74ZlgGe6_JY_1olB1XN4rF0dxEuIIF-xsYjHgg/edit?usp=sharing"",""งบกองทุน!ae67"")"),10)</f>
        <v>10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IFERROR(__xludf.DUMMYFUNCTION("IMPORTRANGE(""https://docs.google.com/spreadsheets/d/1C3CXT74ZlgGe6_JY_1olB1XN4rF0dxEuIIF-xsYjHgg/edit?usp=sharing"",""งบกองทุน!ad67"")"),30)</f>
        <v>30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IFERROR(__xludf.DUMMYFUNCTION("IMPORTRANGE(""https://docs.google.com/spreadsheets/d/1C3CXT74ZlgGe6_JY_1olB1XN4rF0dxEuIIF-xsYjHgg/edit?usp=sharing"",""งบกองทุน!af67"")"),10)</f>
        <v>10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IFERROR(__xludf.DUMMYFUNCTION("IMPORTRANGE(""https://docs.google.com/spreadsheets/d/1C3CXT74ZlgGe6_JY_1olB1XN4rF0dxEuIIF-xsYjHgg/edit?usp=sharing"",""งบกองทุน!ag67"")"),10)</f>
        <v>10</v>
      </c>
      <c r="J315" s="247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IFERROR(__xludf.DUMMYFUNCTION("IMPORTRANGE(""https://docs.google.com/spreadsheets/d/1C3CXT74ZlgGe6_JY_1olB1XN4rF0dxEuIIF-xsYjHgg/edit?usp=sharing"",""งบกองทุน!ai67"")"),25)</f>
        <v>25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IFERROR(__xludf.DUMMYFUNCTION("IMPORTRANGE(""https://docs.google.com/spreadsheets/d/1C3CXT74ZlgGe6_JY_1olB1XN4rF0dxEuIIF-xsYjHgg/edit?usp=sharing"",""งบกองทุน!ah67"")"),75)</f>
        <v>75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IFERROR(__xludf.DUMMYFUNCTION("IMPORTRANGE(""https://docs.google.com/spreadsheets/d/1C3CXT74ZlgGe6_JY_1olB1XN4rF0dxEuIIF-xsYjHgg/edit?usp=sharing"",""งบกองทุน!aj67"")"),25)</f>
        <v>25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IFERROR(__xludf.DUMMYFUNCTION("IMPORTRANGE(""https://docs.google.com/spreadsheets/d/1C3CXT74ZlgGe6_JY_1olB1XN4rF0dxEuIIF-xsYjHgg/edit?usp=sharing"",""งบกองทุน!ak67"")"),25)</f>
        <v>25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IFERROR(__xludf.DUMMYFUNCTION("IMPORTRANGE(""https://docs.google.com/spreadsheets/d/1C3CXT74ZlgGe6_JY_1olB1XN4rF0dxEuIIF-xsYjHgg/edit?usp=sharing"",""งบกองทุน!al67"")"),25)</f>
        <v>25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IFERROR(__xludf.DUMMYFUNCTION("IMPORTRANGE(""https://docs.google.com/spreadsheets/d/1C3CXT74ZlgGe6_JY_1olB1XN4rF0dxEuIIF-xsYjHgg/edit?usp=sharing"",""งบกองทุน!an67"")"),10)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IFERROR(__xludf.DUMMYFUNCTION("IMPORTRANGE(""https://docs.google.com/spreadsheets/d/1C3CXT74ZlgGe6_JY_1olB1XN4rF0dxEuIIF-xsYjHgg/edit?usp=sharing"",""งบกองทุน!am67"")"),30)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IFERROR(__xludf.DUMMYFUNCTION("IMPORTRANGE(""https://docs.google.com/spreadsheets/d/1C3CXT74ZlgGe6_JY_1olB1XN4rF0dxEuIIF-xsYjHgg/edit?usp=sharing"",""งบกองทุน!ao67"")"),10)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IFERROR(__xludf.DUMMYFUNCTION("IMPORTRANGE(""https://docs.google.com/spreadsheets/d/1C3CXT74ZlgGe6_JY_1olB1XN4rF0dxEuIIF-xsYjHgg/edit?usp=sharing"",""งบกองทุน!ap67"")"),10)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35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IFERROR(__xludf.DUMMYFUNCTION("IMPORTRANGE(""https://docs.google.com/spreadsheets/d/1C3CXT74ZlgGe6_JY_1olB1XN4rF0dxEuIIF-xsYjHgg/edit?usp=sharing"",""งบกองทุน!ar67"")"),10)</f>
        <v>10</v>
      </c>
      <c r="J326" s="67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IFERROR(__xludf.DUMMYFUNCTION("IMPORTRANGE(""https://docs.google.com/spreadsheets/d/1C3CXT74ZlgGe6_JY_1olB1XN4rF0dxEuIIF-xsYjHgg/edit?usp=sharing"",""งบกองทุน!as67"")"),25)</f>
        <v>25</v>
      </c>
      <c r="J327" s="67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10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71000</v>
      </c>
      <c r="M330" s="259">
        <f t="shared" si="74"/>
        <v>1000</v>
      </c>
      <c r="N330" s="259">
        <f t="shared" ref="N330:N334" ca="1" si="75">+IF(L330&gt;0,M330*100/L330,0)</f>
        <v>1.408450704225352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71000</v>
      </c>
      <c r="M332" s="52">
        <f t="shared" si="76"/>
        <v>1000</v>
      </c>
      <c r="N332" s="52">
        <f t="shared" ca="1" si="75"/>
        <v>1.408450704225352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IFERROR(__xludf.DUMMYFUNCTION("IMPORTRANGE(""https://docs.google.com/spreadsheets/d/1C3CXT74ZlgGe6_JY_1olB1XN4rF0dxEuIIF-xsYjHgg/edit?usp=sharing"",""งบกองทุน!au67"")"),0)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IFERROR(__xludf.DUMMYFUNCTION("IMPORTRANGE(""https://docs.google.com/spreadsheets/d/1C3CXT74ZlgGe6_JY_1olB1XN4rF0dxEuIIF-xsYjHgg/edit?usp=sharing"",""งบกองทุน!av67"")"),71000)</f>
        <v>71000</v>
      </c>
      <c r="M334" s="52">
        <f>SUM(M335:M338)</f>
        <v>1000</v>
      </c>
      <c r="N334" s="52">
        <f t="shared" ca="1" si="75"/>
        <v>1.408450704225352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1000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1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10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IFERROR(__xludf.DUMMYFUNCTION("IMPORTRANGE(""https://docs.google.com/spreadsheets/d/1C3CXT74ZlgGe6_JY_1olB1XN4rF0dxEuIIF-xsYjHgg/edit?usp=sharing"",""งบกองทุน!ay67"")"),10)</f>
        <v>10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IFERROR(__xludf.DUMMYFUNCTION("IMPORTRANGE(""https://docs.google.com/spreadsheets/d/1C3CXT74ZlgGe6_JY_1olB1XN4rF0dxEuIIF-xsYjHgg/edit?usp=sharing"",""งบกองทุน!az67"")"),0)</f>
        <v>0</v>
      </c>
      <c r="J346" s="67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IFERROR(__xludf.DUMMYFUNCTION("IMPORTRANGE(""https://docs.google.com/spreadsheets/d/1C3CXT74ZlgGe6_JY_1olB1XN4rF0dxEuIIF-xsYjHgg/edit?usp=sharing"",""งบกองทุน!Ba67"")"),0)</f>
        <v>0</v>
      </c>
      <c r="J347" s="67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0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0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0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IFERROR(__xludf.DUMMYFUNCTION("IMPORTRANGE(""https://docs.google.com/spreadsheets/d/1C3CXT74ZlgGe6_JY_1olB1XN4rF0dxEuIIF-xsYjHgg/edit?usp=sharing"",""งบกองทุน!Bc67"")"),0)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IFERROR(__xludf.DUMMYFUNCTION("IMPORTRANGE(""https://docs.google.com/spreadsheets/d/1C3CXT74ZlgGe6_JY_1olB1XN4rF0dxEuIIF-xsYjHgg/edit?usp=sharing"",""งบกองทุน!Bd67"")"),0)</f>
        <v>0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2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2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IFERROR(__xludf.DUMMYFUNCTION("IMPORTRANGE(""https://docs.google.com/spreadsheets/d/1C3CXT74ZlgGe6_JY_1olB1XN4rF0dxEuIIF-xsYjHgg/edit?usp=sharing"",""งบกองทุน!BE67"")"),0)</f>
        <v>0</v>
      </c>
      <c r="J359" s="136">
        <f>+J376</f>
        <v>0</v>
      </c>
      <c r="K359" s="137">
        <f t="shared" ref="K359:K408" ca="1" si="82">IF(I359&gt;0,J359*100/I359,0)</f>
        <v>0</v>
      </c>
      <c r="L359" s="139"/>
      <c r="M359" s="4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IFERROR(__xludf.DUMMYFUNCTION("IMPORTRANGE(""https://docs.google.com/spreadsheets/d/1C3CXT74ZlgGe6_JY_1olB1XN4rF0dxEuIIF-xsYjHgg/edit?usp=sharing"",""งบกองทุน!BE67"")"),0)</f>
        <v>0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IFERROR(__xludf.DUMMYFUNCTION("IMPORTRANGE(""https://docs.google.com/spreadsheets/d/1C3CXT74ZlgGe6_JY_1olB1XN4rF0dxEuIIF-xsYjHgg/edit?usp=sharing"",""งบกองทุน!Bf67"")"),0)</f>
        <v>0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6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6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6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6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6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6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t="shared" ref="I368:I369" ca="1" si="84">I360</f>
        <v>0</v>
      </c>
      <c r="J368" s="78">
        <f t="shared" ref="J368:J369" si="85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47">
        <f t="shared" ca="1" si="84"/>
        <v>0</v>
      </c>
      <c r="J369" s="78">
        <f t="shared" si="85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6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6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6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6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6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6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t="shared" ref="I376:I377" ca="1" si="86">I360</f>
        <v>0</v>
      </c>
      <c r="J376" s="78">
        <f t="shared" ref="J376:J377" si="87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47">
        <f t="shared" ca="1" si="86"/>
        <v>0</v>
      </c>
      <c r="J377" s="78">
        <f t="shared" si="87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6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6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6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6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78">
        <f t="shared" ref="J382:J383" si="88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78">
        <f t="shared" si="88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6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6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6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6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6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6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IFERROR(__xludf.DUMMYFUNCTION("IMPORTRANGE(""https://docs.google.com/spreadsheets/d/1C3CXT74ZlgGe6_JY_1olB1XN4rF0dxEuIIF-xsYjHgg/edit?usp=sharing"",""งบกองทุน!cd67"")"),0)</f>
        <v>0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IFERROR(__xludf.DUMMYFUNCTION("IMPORTRANGE(""https://docs.google.com/spreadsheets/d/1C3CXT74ZlgGe6_JY_1olB1XN4rF0dxEuIIF-xsYjHgg/edit?usp=sharing"",""งบกองทุน!cd67"")"),0)</f>
        <v>0</v>
      </c>
      <c r="J391" s="265">
        <f t="shared" ref="J391:J392" si="89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IFERROR(__xludf.DUMMYFUNCTION("IMPORTRANGE(""https://docs.google.com/spreadsheets/d/1C3CXT74ZlgGe6_JY_1olB1XN4rF0dxEuIIF-xsYjHgg/edit?usp=sharing"",""งบกองทุน!cc67"")"),0)</f>
        <v>0</v>
      </c>
      <c r="J392" s="265">
        <f t="shared" si="89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90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90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6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6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6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6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6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6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66">
        <f t="shared" ref="J401:J402" si="91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66">
        <f t="shared" si="91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6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6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6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6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6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6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IFERROR(__xludf.DUMMYFUNCTION("IMPORTRANGE(""https://docs.google.com/spreadsheets/d/1C3CXT74ZlgGe6_JY_1olB1XN4rF0dxEuIIF-xsYjHgg/edit?usp=sharing"",""งบกองทุน!cz67"")"),0)</f>
        <v>0</v>
      </c>
      <c r="J409" s="136">
        <v>0</v>
      </c>
      <c r="K409" s="137"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IFERROR(__xludf.DUMMYFUNCTION("IMPORTRANGE(""https://docs.google.com/spreadsheets/d/1C3CXT74ZlgGe6_JY_1olB1XN4rF0dxEuIIF-xsYjHgg/edit?usp=sharing"",""งบกองทุน!cz67"")"),0)</f>
        <v>0</v>
      </c>
      <c r="J410" s="149">
        <v>0</v>
      </c>
      <c r="K410" s="146"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IFERROR(__xludf.DUMMYFUNCTION("IMPORTRANGE(""https://docs.google.com/spreadsheets/d/1C3CXT74ZlgGe6_JY_1olB1XN4rF0dxEuIIF-xsYjHgg/edit?usp=sharing"",""งบกองทุน!cy67"")"),0)</f>
        <v>0</v>
      </c>
      <c r="J411" s="149">
        <v>0</v>
      </c>
      <c r="K411" s="146"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IFERROR(__xludf.DUMMYFUNCTION("IMPORTRANGE(""https://docs.google.com/spreadsheets/d/1C3CXT74ZlgGe6_JY_1olB1XN4rF0dxEuIIF-xsYjHgg/edit?usp=sharing"",""งบกองทุน!db67"")"),0)</f>
        <v>0</v>
      </c>
      <c r="K412" s="48"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IFERROR(__xludf.DUMMYFUNCTION("IMPORTRANGE(""https://docs.google.com/spreadsheets/d/1C3CXT74ZlgGe6_JY_1olB1XN4rF0dxEuIIF-xsYjHgg/edit?usp=sharing"",""งบกองทุน!da67"")"),0)</f>
        <v>0</v>
      </c>
      <c r="K413" s="48"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IFERROR(__xludf.DUMMYFUNCTION("IMPORTRANGE(""https://docs.google.com/spreadsheets/d/1C3CXT74ZlgGe6_JY_1olB1XN4rF0dxEuIIF-xsYjHgg/edit?usp=sharing"",""งบกองทุน!dd67"")"),0)</f>
        <v>0</v>
      </c>
      <c r="K414" s="48"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IFERROR(__xludf.DUMMYFUNCTION("IMPORTRANGE(""https://docs.google.com/spreadsheets/d/1C3CXT74ZlgGe6_JY_1olB1XN4rF0dxEuIIF-xsYjHgg/edit?usp=sharing"",""งบกองทุน!dc67"")"),0)</f>
        <v>0</v>
      </c>
      <c r="K415" s="48"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IFERROR(__xludf.DUMMYFUNCTION("IMPORTRANGE(""https://docs.google.com/spreadsheets/d/1C3CXT74ZlgGe6_JY_1olB1XN4rF0dxEuIIF-xsYjHgg/edit?usp=sharing"",""งบกองทุน!df67"")"),0)</f>
        <v>0</v>
      </c>
      <c r="K416" s="48"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IFERROR(__xludf.DUMMYFUNCTION("IMPORTRANGE(""https://docs.google.com/spreadsheets/d/1C3CXT74ZlgGe6_JY_1olB1XN4rF0dxEuIIF-xsYjHgg/edit?usp=sharing"",""งบกองทุน!de67"")"),0)</f>
        <v>0</v>
      </c>
      <c r="K417" s="48"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2">J416</f>
        <v>0</v>
      </c>
      <c r="J418" s="149">
        <v>0</v>
      </c>
      <c r="K418" s="146"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2"/>
        <v>0</v>
      </c>
      <c r="J419" s="149">
        <v>0</v>
      </c>
      <c r="K419" s="146"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4">
        <v>0</v>
      </c>
      <c r="J425" s="300">
        <v>0</v>
      </c>
      <c r="K425" s="301"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3">I440</f>
        <v>22</v>
      </c>
      <c r="J426" s="257">
        <f t="shared" si="93"/>
        <v>22</v>
      </c>
      <c r="K426" s="258">
        <f ca="1">IF(I426&gt;0,J426*100/I426,0)</f>
        <v>100</v>
      </c>
      <c r="L426" s="259">
        <f t="shared" ref="L426:M426" ca="1" si="94">SUM(L427:L428)</f>
        <v>34340</v>
      </c>
      <c r="M426" s="259">
        <f t="shared" si="94"/>
        <v>22527.02</v>
      </c>
      <c r="N426" s="259">
        <f t="shared" ref="N426:N430" ca="1" si="95">+IF(L426&gt;0,M426*100/L426,0)</f>
        <v>65.599941758881769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5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6">SUM(L429:L430)</f>
        <v>34340</v>
      </c>
      <c r="M428" s="52">
        <f t="shared" si="96"/>
        <v>22527.02</v>
      </c>
      <c r="N428" s="52">
        <f t="shared" ca="1" si="95"/>
        <v>65.599941758881769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IFERROR(__xludf.DUMMYFUNCTION("IMPORTRANGE(""https://docs.google.com/spreadsheets/d/1C3CXT74ZlgGe6_JY_1olB1XN4rF0dxEuIIF-xsYjHgg/edit?usp=sharing"",""งบกองทุน!dn67"")"),0)</f>
        <v>0</v>
      </c>
      <c r="M429" s="52">
        <v>0</v>
      </c>
      <c r="N429" s="52">
        <f t="shared" ca="1" si="95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IFERROR(__xludf.DUMMYFUNCTION("IMPORTRANGE(""https://docs.google.com/spreadsheets/d/1C3CXT74ZlgGe6_JY_1olB1XN4rF0dxEuIIF-xsYjHgg/edit?usp=sharing"",""งบกองทุน!do67"")"),34340)</f>
        <v>34340</v>
      </c>
      <c r="M430" s="52">
        <f>SUM(M431:M434)</f>
        <v>22527.02</v>
      </c>
      <c r="N430" s="52">
        <f t="shared" ca="1" si="95"/>
        <v>65.599941758881769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14700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/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7827.02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1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IFERROR(__xludf.DUMMYFUNCTION("IMPORTRANGE(""https://docs.google.com/spreadsheets/d/1C3CXT74ZlgGe6_JY_1olB1XN4rF0dxEuIIF-xsYjHgg/edit?usp=sharing"",""งบกองทุน!dq67"")"),22)</f>
        <v>22</v>
      </c>
      <c r="J440" s="67">
        <v>22</v>
      </c>
      <c r="K440" s="48">
        <f t="shared" ref="K440:K441" ca="1" si="97">IF(I440&gt;0,J440*100/I440,0)</f>
        <v>100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IFERROR(__xludf.DUMMYFUNCTION("IMPORTRANGE(""https://docs.google.com/spreadsheets/d/1C3CXT74ZlgGe6_JY_1olB1XN4rF0dxEuIIF-xsYjHgg/edit?usp=sharing"",""งบกองทุน!dr67"")"),22)</f>
        <v>22</v>
      </c>
      <c r="J441" s="67">
        <v>0</v>
      </c>
      <c r="K441" s="48">
        <f t="shared" ca="1" si="97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8">SUM(I453,I455)</f>
        <v>0</v>
      </c>
      <c r="J444" s="257">
        <f t="shared" si="98"/>
        <v>0</v>
      </c>
      <c r="K444" s="258">
        <f ca="1">IF(I444&gt;0,J444*100/I444,0)</f>
        <v>0</v>
      </c>
      <c r="L444" s="259">
        <f t="shared" ref="L444:M444" ca="1" si="99">SUM(L445:L446)</f>
        <v>0</v>
      </c>
      <c r="M444" s="259">
        <f t="shared" si="99"/>
        <v>0</v>
      </c>
      <c r="N444" s="259">
        <f t="shared" ref="N444:N448" ca="1" si="100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100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101">SUM(L447:L448)</f>
        <v>0</v>
      </c>
      <c r="M446" s="52">
        <f t="shared" si="101"/>
        <v>0</v>
      </c>
      <c r="N446" s="52">
        <f t="shared" ca="1" si="100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IFERROR(__xludf.DUMMYFUNCTION("IMPORTRANGE(""https://docs.google.com/spreadsheets/d/1C3CXT74ZlgGe6_JY_1olB1XN4rF0dxEuIIF-xsYjHgg/edit?usp=sharing"",""งบกองทุน!dt67"")"),0)</f>
        <v>0</v>
      </c>
      <c r="M447" s="52">
        <v>0</v>
      </c>
      <c r="N447" s="52">
        <f t="shared" ca="1" si="100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IFERROR(__xludf.DUMMYFUNCTION("IMPORTRANGE(""https://docs.google.com/spreadsheets/d/1C3CXT74ZlgGe6_JY_1olB1XN4rF0dxEuIIF-xsYjHgg/edit?usp=sharing"",""งบกองทุน!du67"")"),0)</f>
        <v>0</v>
      </c>
      <c r="M448" s="52">
        <f>SUM(M449:M452)</f>
        <v>0</v>
      </c>
      <c r="N448" s="52">
        <f t="shared" ca="1" si="100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IFERROR(__xludf.DUMMYFUNCTION("IMPORTRANGE(""https://docs.google.com/spreadsheets/d/1C3CXT74ZlgGe6_JY_1olB1XN4rF0dxEuIIF-xsYjHgg/edit?usp=sharing"",""งบกองทุน!dw67"")"),0)</f>
        <v>0</v>
      </c>
      <c r="J453" s="66">
        <v>0</v>
      </c>
      <c r="K453" s="232">
        <f t="shared" ref="K453:K457" ca="1" si="102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IFERROR(__xludf.DUMMYFUNCTION("IMPORTRANGE(""https://docs.google.com/spreadsheets/d/1C3CXT74ZlgGe6_JY_1olB1XN4rF0dxEuIIF-xsYjHgg/edit?usp=sharing"",""งบกองทุน!dx67"")"),0)</f>
        <v>0</v>
      </c>
      <c r="J454" s="66">
        <v>0</v>
      </c>
      <c r="K454" s="232">
        <f t="shared" ca="1" si="102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IFERROR(__xludf.DUMMYFUNCTION("IMPORTRANGE(""https://docs.google.com/spreadsheets/d/1C3CXT74ZlgGe6_JY_1olB1XN4rF0dxEuIIF-xsYjHgg/edit?usp=sharing"",""งบกองทุน!dy67"")"),0)</f>
        <v>0</v>
      </c>
      <c r="J455" s="66">
        <v>0</v>
      </c>
      <c r="K455" s="232">
        <f t="shared" ca="1" si="102"/>
        <v>0</v>
      </c>
      <c r="L455" s="52"/>
      <c r="M455" s="52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IFERROR(__xludf.DUMMYFUNCTION("IMPORTRANGE(""https://docs.google.com/spreadsheets/d/1C3CXT74ZlgGe6_JY_1olB1XN4rF0dxEuIIF-xsYjHgg/edit?usp=sharing"",""งบกองทุน!dz67"")"),0)</f>
        <v>0</v>
      </c>
      <c r="J456" s="66">
        <v>0</v>
      </c>
      <c r="K456" s="48">
        <f t="shared" ca="1" si="102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200</v>
      </c>
      <c r="J457" s="226">
        <f>+J466</f>
        <v>175</v>
      </c>
      <c r="K457" s="227">
        <f t="shared" ca="1" si="102"/>
        <v>87.5</v>
      </c>
      <c r="L457" s="228">
        <f t="shared" ref="L457:M457" ca="1" si="103">SUM(L458:L459)</f>
        <v>126080</v>
      </c>
      <c r="M457" s="228">
        <f t="shared" si="103"/>
        <v>0</v>
      </c>
      <c r="N457" s="228">
        <f t="shared" ref="N457:N461" ca="1" si="104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4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5">SUM(L460:L461)</f>
        <v>126080</v>
      </c>
      <c r="M459" s="52">
        <f t="shared" si="105"/>
        <v>0</v>
      </c>
      <c r="N459" s="52">
        <f t="shared" ca="1" si="104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IFERROR(__xludf.DUMMYFUNCTION("IMPORTRANGE(""https://docs.google.com/spreadsheets/d/1C3CXT74ZlgGe6_JY_1olB1XN4rF0dxEuIIF-xsYjHgg/edit?usp=sharing"",""งบกองทุน!Eb67"")"),0)</f>
        <v>0</v>
      </c>
      <c r="M460" s="52">
        <v>0</v>
      </c>
      <c r="N460" s="52">
        <f t="shared" ca="1" si="104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IFERROR(__xludf.DUMMYFUNCTION("IMPORTRANGE(""https://docs.google.com/spreadsheets/d/1C3CXT74ZlgGe6_JY_1olB1XN4rF0dxEuIIF-xsYjHgg/edit?usp=sharing"",""งบกองทุน!Ec67"")"),126080)</f>
        <v>126080</v>
      </c>
      <c r="M461" s="52">
        <f>SUM(M462:M465)</f>
        <v>0</v>
      </c>
      <c r="N461" s="52">
        <f t="shared" ca="1" si="104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IFERROR(__xludf.DUMMYFUNCTION("IMPORTRANGE(""https://docs.google.com/spreadsheets/d/1C3CXT74ZlgGe6_JY_1olB1XN4rF0dxEuIIF-xsYjHgg/edit?usp=sharing"",""งบกองทุน!Ed67"")"),200)</f>
        <v>200</v>
      </c>
      <c r="J466" s="265">
        <f>+J469+J470+J471+J472</f>
        <v>175</v>
      </c>
      <c r="K466" s="79">
        <f ca="1">IF(I466&gt;0,J466*100/I466,0)</f>
        <v>87.5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6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6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175</v>
      </c>
      <c r="K470" s="48">
        <f t="shared" si="106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6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6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7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7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8">SUM(L476:L477)</f>
        <v>0</v>
      </c>
      <c r="M475" s="52">
        <f t="shared" si="108"/>
        <v>0</v>
      </c>
      <c r="N475" s="52">
        <f t="shared" ca="1" si="107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IFERROR(__xludf.DUMMYFUNCTION("IMPORTRANGE(""https://docs.google.com/spreadsheets/d/1C3CXT74ZlgGe6_JY_1olB1XN4rF0dxEuIIF-xsYjHgg/edit?usp=sharing"",""งบกองทุน!Ek67"")"),0)</f>
        <v>0</v>
      </c>
      <c r="M476" s="52">
        <v>0</v>
      </c>
      <c r="N476" s="52">
        <f t="shared" ca="1" si="107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IFERROR(__xludf.DUMMYFUNCTION("IMPORTRANGE(""https://docs.google.com/spreadsheets/d/1C3CXT74ZlgGe6_JY_1olB1XN4rF0dxEuIIF-xsYjHgg/edit?usp=sharing"",""งบกองทุน!El67"")"),0)</f>
        <v>0</v>
      </c>
      <c r="M477" s="52">
        <f>SUM(M478:M481)</f>
        <v>0</v>
      </c>
      <c r="N477" s="52">
        <f t="shared" ca="1" si="107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IFERROR(__xludf.DUMMYFUNCTION("IMPORTRANGE(""https://docs.google.com/spreadsheets/d/1C3CXT74ZlgGe6_JY_1olB1XN4rF0dxEuIIF-xsYjHgg/edit?usp=sharing"",""งบกองทุน!Em67"")"),0)</f>
        <v>0</v>
      </c>
      <c r="J482" s="66">
        <f ca="1">IFERROR(__xludf.DUMMYFUNCTION("IMPORTRANGE(""https://docs.google.com/spreadsheets/d/1AGHcLOeeYFL3K4b9R1dSzyJy00PE_ra89DNTVfnxSWM/edit?usp=sharing"",""รวมที่ชุมชน!G56"")"),0)</f>
        <v>0</v>
      </c>
      <c r="K482" s="48">
        <f t="shared" ref="K482:K489" ca="1" si="109">IF(I482&gt;0,J482*100/I482,0)</f>
        <v>0</v>
      </c>
      <c r="L482" s="60"/>
      <c r="M482" s="60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IFERROR(__xludf.DUMMYFUNCTION("IMPORTRANGE(""https://docs.google.com/spreadsheets/d/1C3CXT74ZlgGe6_JY_1olB1XN4rF0dxEuIIF-xsYjHgg/edit?usp=sharing"",""งบกองทุน!En67"")"),0)</f>
        <v>0</v>
      </c>
      <c r="J483" s="66">
        <f ca="1">IFERROR(__xludf.DUMMYFUNCTION("IMPORTRANGE(""https://docs.google.com/spreadsheets/d/1AGHcLOeeYFL3K4b9R1dSzyJy00PE_ra89DNTVfnxSWM/edit?usp=sharing"",""รวมที่ชุมชน!H56"")"),0)</f>
        <v>0</v>
      </c>
      <c r="K483" s="200">
        <f t="shared" ca="1" si="109"/>
        <v>0</v>
      </c>
      <c r="L483" s="60"/>
      <c r="M483" s="60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IFERROR(__xludf.DUMMYFUNCTION("IMPORTRANGE(""https://docs.google.com/spreadsheets/d/1C3CXT74ZlgGe6_JY_1olB1XN4rF0dxEuIIF-xsYjHgg/edit?usp=sharing"",""งบกองทุน!Eo67"")"),0)</f>
        <v>0</v>
      </c>
      <c r="J484" s="66">
        <f ca="1">IFERROR(__xludf.DUMMYFUNCTION("IMPORTRANGE(""https://docs.google.com/spreadsheets/d/1AGHcLOeeYFL3K4b9R1dSzyJy00PE_ra89DNTVfnxSWM/edit?usp=sharing"",""รวมที่ชุมชน!J56"")"),0)</f>
        <v>0</v>
      </c>
      <c r="K484" s="48">
        <f t="shared" ca="1" si="109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IFERROR(__xludf.DUMMYFUNCTION("IMPORTRANGE(""https://docs.google.com/spreadsheets/d/1C3CXT74ZlgGe6_JY_1olB1XN4rF0dxEuIIF-xsYjHgg/edit?usp=sharing"",""งบกองทุน!Ep67"")"),0)</f>
        <v>0</v>
      </c>
      <c r="J485" s="66">
        <f ca="1">IFERROR(__xludf.DUMMYFUNCTION("IMPORTRANGE(""https://docs.google.com/spreadsheets/d/1AGHcLOeeYFL3K4b9R1dSzyJy00PE_ra89DNTVfnxSWM/edit?usp=sharing"",""รวมที่ชุมชน!L56"")"),0)</f>
        <v>0</v>
      </c>
      <c r="K485" s="200">
        <f t="shared" ca="1" si="109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IFERROR(__xludf.DUMMYFUNCTION("IMPORTRANGE(""https://docs.google.com/spreadsheets/d/1C3CXT74ZlgGe6_JY_1olB1XN4rF0dxEuIIF-xsYjHgg/edit?usp=sharing"",""งบกองทุน!Eq67"")"),0)</f>
        <v>0</v>
      </c>
      <c r="J486" s="66">
        <f ca="1">IFERROR(__xludf.DUMMYFUNCTION("IMPORTRANGE(""https://docs.google.com/spreadsheets/d/1AGHcLOeeYFL3K4b9R1dSzyJy00PE_ra89DNTVfnxSWM/edit?usp=sharing"",""รวมที่ชุมชน!S56"")"),0)</f>
        <v>0</v>
      </c>
      <c r="K486" s="48">
        <f t="shared" ca="1" si="109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IFERROR(__xludf.DUMMYFUNCTION("IMPORTRANGE(""https://docs.google.com/spreadsheets/d/1C3CXT74ZlgGe6_JY_1olB1XN4rF0dxEuIIF-xsYjHgg/edit?usp=sharing"",""งบกองทุน!Er67"")"),0)</f>
        <v>0</v>
      </c>
      <c r="J487" s="66">
        <f ca="1">IFERROR(__xludf.DUMMYFUNCTION("IMPORTRANGE(""https://docs.google.com/spreadsheets/d/1AGHcLOeeYFL3K4b9R1dSzyJy00PE_ra89DNTVfnxSWM/edit?usp=sharing"",""รวมที่ชุมชน!U56"")"),0)</f>
        <v>0</v>
      </c>
      <c r="K487" s="200">
        <f t="shared" ca="1" si="109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IFERROR(__xludf.DUMMYFUNCTION("IMPORTRANGE(""https://docs.google.com/spreadsheets/d/1C3CXT74ZlgGe6_JY_1olB1XN4rF0dxEuIIF-xsYjHgg/edit?usp=sharing"",""งบกองทุน!Es67"")"),0)</f>
        <v>0</v>
      </c>
      <c r="J488" s="66">
        <f ca="1">IFERROR(__xludf.DUMMYFUNCTION("IMPORTRANGE(""https://docs.google.com/spreadsheets/d/1AGHcLOeeYFL3K4b9R1dSzyJy00PE_ra89DNTVfnxSWM/edit?usp=sharing"",""รวมที่ชุมชน!V56"")"),0)</f>
        <v>0</v>
      </c>
      <c r="K488" s="48">
        <f t="shared" ca="1" si="109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IFERROR(__xludf.DUMMYFUNCTION("IMPORTRANGE(""https://docs.google.com/spreadsheets/d/1C3CXT74ZlgGe6_JY_1olB1XN4rF0dxEuIIF-xsYjHgg/edit?usp=sharing"",""งบกองทุน!Et67"")"),0)</f>
        <v>0</v>
      </c>
      <c r="J489" s="111">
        <f ca="1">IFERROR(__xludf.DUMMYFUNCTION("IMPORTRANGE(""https://docs.google.com/spreadsheets/d/1AGHcLOeeYFL3K4b9R1dSzyJy00PE_ra89DNTVfnxSWM/edit?usp=sharing"",""รวมที่ชุมชน!X56"")"),0)</f>
        <v>0</v>
      </c>
      <c r="K489" s="347">
        <f t="shared" ca="1" si="109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10">I504</f>
        <v>100</v>
      </c>
      <c r="J490" s="303">
        <f t="shared" si="110"/>
        <v>0</v>
      </c>
      <c r="K490" s="258">
        <f ca="1">IF(I490&gt;0,J490*100/I490,0)</f>
        <v>0</v>
      </c>
      <c r="L490" s="259">
        <f ca="1">SUM(L491,L492)</f>
        <v>7300</v>
      </c>
      <c r="M490" s="259">
        <f>SUM(M491:M492)</f>
        <v>860</v>
      </c>
      <c r="N490" s="259">
        <f t="shared" ref="N490:N494" ca="1" si="111">+IF(L490&gt;0,M490*100/L490,0)</f>
        <v>11.780821917808218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11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2">SUM(L493:L494)</f>
        <v>7300</v>
      </c>
      <c r="M492" s="52">
        <f t="shared" si="112"/>
        <v>860</v>
      </c>
      <c r="N492" s="52">
        <f t="shared" ca="1" si="111"/>
        <v>11.780821917808218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IFERROR(__xludf.DUMMYFUNCTION("IMPORTRANGE(""https://docs.google.com/spreadsheets/d/1C3CXT74ZlgGe6_JY_1olB1XN4rF0dxEuIIF-xsYjHgg/edit?usp=sharing"",""งบกองทุน!Ev67"")"),0)</f>
        <v>0</v>
      </c>
      <c r="M493" s="52">
        <v>0</v>
      </c>
      <c r="N493" s="52">
        <f t="shared" ca="1" si="111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IFERROR(__xludf.DUMMYFUNCTION("IMPORTRANGE(""https://docs.google.com/spreadsheets/d/1C3CXT74ZlgGe6_JY_1olB1XN4rF0dxEuIIF-xsYjHgg/edit?usp=sharing"",""งบกองทุน!Ew67"")"),7300)</f>
        <v>7300</v>
      </c>
      <c r="M494" s="52">
        <f>SUM(M495:M498)</f>
        <v>860</v>
      </c>
      <c r="N494" s="52">
        <f t="shared" ca="1" si="111"/>
        <v>11.780821917808218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860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1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IFERROR(__xludf.DUMMYFUNCTION("IMPORTRANGE(""https://docs.google.com/spreadsheets/d/1C3CXT74ZlgGe6_JY_1olB1XN4rF0dxEuIIF-xsYjHgg/edit?usp=sharing"",""งบกองทุน!EZ67"")"),100)</f>
        <v>100</v>
      </c>
      <c r="J504" s="47">
        <f>+J510</f>
        <v>0</v>
      </c>
      <c r="K504" s="48">
        <f t="shared" ref="K504:K512" ca="1" si="113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3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3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3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3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3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4">I511+I512</f>
        <v>0</v>
      </c>
      <c r="J510" s="66">
        <f t="shared" si="114"/>
        <v>0</v>
      </c>
      <c r="K510" s="48">
        <f t="shared" ca="1" si="113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3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3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IFERROR(__xludf.DUMMYFUNCTION("IMPORTRANGE(""https://docs.google.com/spreadsheets/d/1C3CXT74ZlgGe6_JY_1olB1XN4rF0dxEuIIF-xsYjHgg/edit?usp=sharing"",""งบกองทุน!ff67"")"),0)</f>
        <v>0</v>
      </c>
      <c r="J513" s="47">
        <f>J514</f>
        <v>0</v>
      </c>
      <c r="K513" s="48">
        <f t="shared" ref="K513:K519" ca="1" si="115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6">I515+I516</f>
        <v>0</v>
      </c>
      <c r="J514" s="47">
        <f t="shared" si="116"/>
        <v>0</v>
      </c>
      <c r="K514" s="48">
        <f t="shared" ca="1" si="115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5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5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7">SUM(I518:I519)</f>
        <v>0</v>
      </c>
      <c r="J517" s="66">
        <f t="shared" si="117"/>
        <v>0</v>
      </c>
      <c r="K517" s="48">
        <f t="shared" ca="1" si="115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5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5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IFERROR(__xludf.DUMMYFUNCTION("IMPORTRANGE(""https://docs.google.com/spreadsheets/d/1muirlRDkqiswvy_NRZ3Yh955hx-PF6_HhssUYiSJj8o/edit?usp=sharing"",""กองทุน!D67"")"),1040000)</f>
        <v>1040000</v>
      </c>
      <c r="J521" s="199">
        <f ca="1">IFERROR(__xludf.DUMMYFUNCTION("IMPORTRANGE(""https://docs.google.com/spreadsheets/d/1muirlRDkqiswvy_NRZ3Yh955hx-PF6_HhssUYiSJj8o/edit?usp=sharing"",""กองทุน!F67"")"),0)</f>
        <v>0</v>
      </c>
      <c r="K521" s="200">
        <f t="shared" ref="K521:K528" ca="1" si="118">IF(I521&gt;0,J521*100/I521,0)</f>
        <v>0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IFERROR(__xludf.DUMMYFUNCTION("IMPORTRANGE(""https://docs.google.com/spreadsheets/d/1muirlRDkqiswvy_NRZ3Yh955hx-PF6_HhssUYiSJj8o/edit?usp=sharing"",""กองทุน!C67"")"),36)</f>
        <v>36</v>
      </c>
      <c r="J522" s="199">
        <f ca="1">IFERROR(__xludf.DUMMYFUNCTION("IMPORTRANGE(""https://docs.google.com/spreadsheets/d/1muirlRDkqiswvy_NRZ3Yh955hx-PF6_HhssUYiSJj8o/edit?usp=sharing"",""กองทุน!E67"")"),0)</f>
        <v>0</v>
      </c>
      <c r="K522" s="200">
        <f t="shared" ca="1" si="118"/>
        <v>0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IFERROR(__xludf.DUMMYFUNCTION("IMPORTRANGE(""https://docs.google.com/spreadsheets/d/1muirlRDkqiswvy_NRZ3Yh955hx-PF6_HhssUYiSJj8o/edit?usp=sharing"",""กองทุน!I67"")"),527992.79)</f>
        <v>527992.79</v>
      </c>
      <c r="J523" s="199">
        <f ca="1">IFERROR(__xludf.DUMMYFUNCTION("IMPORTRANGE(""https://docs.google.com/spreadsheets/d/1muirlRDkqiswvy_NRZ3Yh955hx-PF6_HhssUYiSJj8o/edit?usp=sharing"",""กองทุน!K67"")"),0)</f>
        <v>0</v>
      </c>
      <c r="K523" s="200">
        <f t="shared" ca="1" si="118"/>
        <v>0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IFERROR(__xludf.DUMMYFUNCTION("IMPORTRANGE(""https://docs.google.com/spreadsheets/d/1muirlRDkqiswvy_NRZ3Yh955hx-PF6_HhssUYiSJj8o/edit?usp=sharing"",""กองทุน!H67"")"),9)</f>
        <v>9</v>
      </c>
      <c r="J524" s="199">
        <f ca="1">IFERROR(__xludf.DUMMYFUNCTION("IMPORTRANGE(""https://docs.google.com/spreadsheets/d/1muirlRDkqiswvy_NRZ3Yh955hx-PF6_HhssUYiSJj8o/edit?usp=sharing"",""กองทุน!J67"")"),0)</f>
        <v>0</v>
      </c>
      <c r="K524" s="200">
        <f t="shared" ca="1" si="118"/>
        <v>0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IFERROR(__xludf.DUMMYFUNCTION("IMPORTRANGE(""https://docs.google.com/spreadsheets/d/1muirlRDkqiswvy_NRZ3Yh955hx-PF6_HhssUYiSJj8o/edit?usp=sharing"",""กองทุน!N67"")"),4039706.08)</f>
        <v>4039706.08</v>
      </c>
      <c r="J525" s="199">
        <f ca="1">IFERROR(__xludf.DUMMYFUNCTION("IMPORTRANGE(""https://docs.google.com/spreadsheets/d/1muirlRDkqiswvy_NRZ3Yh955hx-PF6_HhssUYiSJj8o/edit?usp=sharing"",""กองทุน!P67"")"),301728.15)</f>
        <v>301728.15000000002</v>
      </c>
      <c r="K525" s="200">
        <f t="shared" ca="1" si="118"/>
        <v>7.4690619571015926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IFERROR(__xludf.DUMMYFUNCTION("IMPORTRANGE(""https://docs.google.com/spreadsheets/d/1muirlRDkqiswvy_NRZ3Yh955hx-PF6_HhssUYiSJj8o/edit?usp=sharing"",""กองทุน!M67"")"),2075)</f>
        <v>2075</v>
      </c>
      <c r="J526" s="199">
        <f ca="1">IFERROR(__xludf.DUMMYFUNCTION("IMPORTRANGE(""https://docs.google.com/spreadsheets/d/1muirlRDkqiswvy_NRZ3Yh955hx-PF6_HhssUYiSJj8o/edit?usp=sharing"",""กองทุน!O67"")"),83)</f>
        <v>83</v>
      </c>
      <c r="K526" s="200">
        <f t="shared" ca="1" si="118"/>
        <v>4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IFERROR(__xludf.DUMMYFUNCTION("IMPORTRANGE(""https://docs.google.com/spreadsheets/d/1muirlRDkqiswvy_NRZ3Yh955hx-PF6_HhssUYiSJj8o/edit?usp=sharing"",""กองทุน!S67"")"),960000)</f>
        <v>960000</v>
      </c>
      <c r="J527" s="199">
        <f ca="1">IFERROR(__xludf.DUMMYFUNCTION("IMPORTRANGE(""https://docs.google.com/spreadsheets/d/1muirlRDkqiswvy_NRZ3Yh955hx-PF6_HhssUYiSJj8o/edit?usp=sharing"",""กองทุน!U67"")"),0)</f>
        <v>0</v>
      </c>
      <c r="K527" s="200">
        <f t="shared" ca="1" si="118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IFERROR(__xludf.DUMMYFUNCTION("IMPORTRANGE(""https://docs.google.com/spreadsheets/d/1muirlRDkqiswvy_NRZ3Yh955hx-PF6_HhssUYiSJj8o/edit?usp=sharing"",""กองทุน!R67"")"),33)</f>
        <v>33</v>
      </c>
      <c r="J528" s="324">
        <f ca="1">IFERROR(__xludf.DUMMYFUNCTION("IMPORTRANGE(""https://docs.google.com/spreadsheets/d/1muirlRDkqiswvy_NRZ3Yh955hx-PF6_HhssUYiSJj8o/edit?usp=sharing"",""กองทุน!T67"")"),0)</f>
        <v>0</v>
      </c>
      <c r="K528" s="347">
        <f t="shared" ca="1" si="118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A5" sqref="A5:G5"/>
      <selection pane="bottomLeft" activeCell="A5" sqref="A5:G5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68" t="s">
        <v>0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</row>
    <row r="2" spans="1:14" ht="18" customHeight="1" x14ac:dyDescent="0.55000000000000004">
      <c r="A2" s="368" t="s">
        <v>232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</row>
    <row r="3" spans="1:14" ht="18" customHeight="1" x14ac:dyDescent="0.55000000000000004">
      <c r="A3" s="368" t="s">
        <v>247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70" t="s">
        <v>4</v>
      </c>
      <c r="B5" s="371"/>
      <c r="C5" s="371"/>
      <c r="D5" s="371"/>
      <c r="E5" s="371"/>
      <c r="F5" s="371"/>
      <c r="G5" s="372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849670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66"/>
      <c r="K11" s="232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66"/>
      <c r="K12" s="232"/>
      <c r="L12" s="52">
        <f ca="1">IFERROR(__xludf.DUMMYFUNCTION("IMPORTRANGE(""https://docs.google.com/spreadsheets/d/1C3CXT74ZlgGe6_JY_1olB1XN4rF0dxEuIIF-xsYjHgg/edit?usp=sharing"",""พรบ!C68"")"),0)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66"/>
      <c r="K13" s="232"/>
      <c r="L13" s="52">
        <f ca="1">IFERROR(__xludf.DUMMYFUNCTION("IMPORTRANGE(""https://docs.google.com/spreadsheets/d/1C3CXT74ZlgGe6_JY_1olB1XN4rF0dxEuIIF-xsYjHgg/edit?usp=sharing"",""พรบ!D68"")"),0)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66"/>
      <c r="K14" s="232"/>
      <c r="L14" s="52">
        <f ca="1">IFERROR(__xludf.DUMMYFUNCTION("IMPORTRANGE(""https://docs.google.com/spreadsheets/d/1C3CXT74ZlgGe6_JY_1olB1XN4rF0dxEuIIF-xsYjHgg/edit?usp=sharing"",""พรบ!E68"")"),0)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28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IFERROR(__xludf.DUMMYFUNCTION("IMPORTRANGE(""https://docs.google.com/spreadsheets/d/1C3CXT74ZlgGe6_JY_1olB1XN4rF0dxEuIIF-xsYjHgg/edit?usp=sharing"",""พรบ!H68"")"),0)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IFERROR(__xludf.DUMMYFUNCTION("IMPORTRANGE(""https://docs.google.com/spreadsheets/d/1C3CXT74ZlgGe6_JY_1olB1XN4rF0dxEuIIF-xsYjHgg/edit?usp=sharing"",""พรบ!I68"")"),0)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IFERROR(__xludf.DUMMYFUNCTION("IMPORTRANGE(""https://docs.google.com/spreadsheets/d/1C3CXT74ZlgGe6_JY_1olB1XN4rF0dxEuIIF-xsYjHgg/edit?usp=sharing"",""พรบ!J68"")"),0)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IFERROR(__xludf.DUMMYFUNCTION("IMPORTRANGE(""https://docs.google.com/spreadsheets/d/1C3CXT74ZlgGe6_JY_1olB1XN4rF0dxEuIIF-xsYjHgg/edit?usp=sharing"",""พรบ!K68"")"),0)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IFERROR(__xludf.DUMMYFUNCTION("IMPORTRANGE(""https://docs.google.com/spreadsheets/d/1C3CXT74ZlgGe6_JY_1olB1XN4rF0dxEuIIF-xsYjHgg/edit?usp=sharing"",""พรบ!L68"")"),0)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IFERROR(__xludf.DUMMYFUNCTION("IMPORTRANGE(""https://docs.google.com/spreadsheets/d/1C3CXT74ZlgGe6_JY_1olB1XN4rF0dxEuIIF-xsYjHgg/edit?usp=sharing"",""พรบ!M68"")"),0)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IFERROR(__xludf.DUMMYFUNCTION("IMPORTRANGE(""https://docs.google.com/spreadsheets/d/1C3CXT74ZlgGe6_JY_1olB1XN4rF0dxEuIIF-xsYjHgg/edit?usp=sharing"",""พรบ!N68"")"),0)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6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IFERROR(__xludf.DUMMYFUNCTION("IMPORTRANGE(""https://docs.google.com/spreadsheets/d/1C3CXT74ZlgGe6_JY_1olB1XN4rF0dxEuIIF-xsYjHgg/edit?usp=sharing"",""พรบ!O68"")"),0)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IFERROR(__xludf.DUMMYFUNCTION("IMPORTRANGE(""https://docs.google.com/spreadsheets/d/1C3CXT74ZlgGe6_JY_1olB1XN4rF0dxEuIIF-xsYjHgg/edit?usp=sharing"",""พรบ!P68"")"),0)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IFERROR(__xludf.DUMMYFUNCTION("IMPORTRANGE(""https://docs.google.com/spreadsheets/d/1C3CXT74ZlgGe6_JY_1olB1XN4rF0dxEuIIF-xsYjHgg/edit?usp=sharing"",""พรบ!Q68"")"),0)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IFERROR(__xludf.DUMMYFUNCTION("IMPORTRANGE(""https://docs.google.com/spreadsheets/d/1C3CXT74ZlgGe6_JY_1olB1XN4rF0dxEuIIF-xsYjHgg/edit?usp=sharing"",""พรบ!R68"")"),0)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IFERROR(__xludf.DUMMYFUNCTION("IMPORTRANGE(""https://docs.google.com/spreadsheets/d/1C3CXT74ZlgGe6_JY_1olB1XN4rF0dxEuIIF-xsYjHgg/edit?usp=sharing"",""พรบ!S68"")"),0)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IFERROR(__xludf.DUMMYFUNCTION("IMPORTRANGE(""https://docs.google.com/spreadsheets/d/1C3CXT74ZlgGe6_JY_1olB1XN4rF0dxEuIIF-xsYjHgg/edit?usp=sharing"",""พรบ!T68"")"),0)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IFERROR(__xludf.DUMMYFUNCTION("IMPORTRANGE(""https://docs.google.com/spreadsheets/d/1C3CXT74ZlgGe6_JY_1olB1XN4rF0dxEuIIF-xsYjHgg/edit?usp=sharing"",""พรบ!U68"")"),0)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IFERROR(__xludf.DUMMYFUNCTION("IMPORTRANGE(""https://docs.google.com/spreadsheets/d/1C3CXT74ZlgGe6_JY_1olB1XN4rF0dxEuIIF-xsYjHgg/edit?usp=sharing"",""พรบ!V68"")"),0)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IFERROR(__xludf.DUMMYFUNCTION("IMPORTRANGE(""https://docs.google.com/spreadsheets/d/1C3CXT74ZlgGe6_JY_1olB1XN4rF0dxEuIIF-xsYjHgg/edit?usp=sharing"",""พรบ!W68"")"),0)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6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IFERROR(__xludf.DUMMYFUNCTION("IMPORTRANGE(""https://docs.google.com/spreadsheets/d/1C3CXT74ZlgGe6_JY_1olB1XN4rF0dxEuIIF-xsYjHgg/edit?usp=sharing"",""พรบ!Y68"")"),0)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IFERROR(__xludf.DUMMYFUNCTION("IMPORTRANGE(""https://docs.google.com/spreadsheets/d/1C3CXT74ZlgGe6_JY_1olB1XN4rF0dxEuIIF-xsYjHgg/edit?usp=sharing"",""พรบ!Z68"")"),0)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246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IFERROR(__xludf.DUMMYFUNCTION("IMPORTRANGE(""https://docs.google.com/spreadsheets/d/1C3CXT74ZlgGe6_JY_1olB1XN4rF0dxEuIIF-xsYjHgg/edit?usp=sharing"",""พรบ!AA68"")"),0)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7">
        <v>0</v>
      </c>
      <c r="K65" s="358"/>
      <c r="L65" s="359"/>
      <c r="M65" s="359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44500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44500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IFERROR(__xludf.DUMMYFUNCTION("IMPORTRANGE(""https://docs.google.com/spreadsheets/d/1C3CXT74ZlgGe6_JY_1olB1XN4rF0dxEuIIF-xsYjHgg/edit?usp=sharing"",""พรบ!AD68"")"),0)</f>
        <v>0</v>
      </c>
      <c r="M72" s="52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44500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IFERROR(__xludf.DUMMYFUNCTION("IMPORTRANGE(""https://docs.google.com/spreadsheets/d/1C3CXT74ZlgGe6_JY_1olB1XN4rF0dxEuIIF-xsYjHgg/edit?usp=sharing"",""พรบ!AF68"")"),7500)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1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IFERROR(__xludf.DUMMYFUNCTION("IMPORTRANGE(""https://docs.google.com/spreadsheets/d/1C3CXT74ZlgGe6_JY_1olB1XN4rF0dxEuIIF-xsYjHgg/edit?usp=sharing"",""พรบ!AG68"")"),4)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2</v>
      </c>
      <c r="J89" s="149">
        <f t="shared" si="21"/>
        <v>0</v>
      </c>
      <c r="K89" s="150">
        <f ca="1">IF(I89&gt;0,J89*100/I89,0)</f>
        <v>0</v>
      </c>
      <c r="L89" s="147">
        <f ca="1">L90+L91</f>
        <v>28000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28000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IFERROR(__xludf.DUMMYFUNCTION("IMPORTRANGE(""https://docs.google.com/spreadsheets/d/1C3CXT74ZlgGe6_JY_1olB1XN4rF0dxEuIIF-xsYjHgg/edit?usp=sharing"",""พรบ!AH68"")"),28000)</f>
        <v>28000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1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IFERROR(__xludf.DUMMYFUNCTION("IMPORTRANGE(""https://docs.google.com/spreadsheets/d/1C3CXT74ZlgGe6_JY_1olB1XN4rF0dxEuIIF-xsYjHgg/edit?usp=sharing"",""พรบ!AI68"")"),2)</f>
        <v>2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IFERROR(__xludf.DUMMYFUNCTION("IMPORTRANGE(""https://docs.google.com/spreadsheets/d/1C3CXT74ZlgGe6_JY_1olB1XN4rF0dxEuIIF-xsYjHgg/edit?usp=sharing"",""กปร!C68"")"),24000)</f>
        <v>24000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IFERROR(__xludf.DUMMYFUNCTION("IMPORTRANGE(""https://docs.google.com/spreadsheets/d/1C3CXT74ZlgGe6_JY_1olB1XN4rF0dxEuIIF-xsYjHgg/edit?usp=sharing"",""พรบ!AJ68"")"),0)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IFERROR(__xludf.DUMMYFUNCTION("IMPORTRANGE(""https://docs.google.com/spreadsheets/d/1C3CXT74ZlgGe6_JY_1olB1XN4rF0dxEuIIF-xsYjHgg/edit?usp=sharing"",""พรบ!AK68"")"),0)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IFERROR(__xludf.DUMMYFUNCTION("IMPORTRANGE(""https://docs.google.com/spreadsheets/d/1C3CXT74ZlgGe6_JY_1olB1XN4rF0dxEuIIF-xsYjHgg/edit?usp=sharing"",""กปร!D68"")"),0)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IFERROR(__xludf.DUMMYFUNCTION("IMPORTRANGE(""https://docs.google.com/spreadsheets/d/1C3CXT74ZlgGe6_JY_1olB1XN4rF0dxEuIIF-xsYjHgg/edit?usp=sharing"",""พรบ!AL68"")"),0)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IFERROR(__xludf.DUMMYFUNCTION("IMPORTRANGE(""https://docs.google.com/spreadsheets/d/1C3CXT74ZlgGe6_JY_1olB1XN4rF0dxEuIIF-xsYjHgg/edit?usp=sharing"",""กปร!E68"")"),0)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6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20000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9000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9000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IFERROR(__xludf.DUMMYFUNCTION("IMPORTRANGE(""https://docs.google.com/spreadsheets/d/1C3CXT74ZlgGe6_JY_1olB1XN4rF0dxEuIIF-xsYjHgg/edit?usp=sharing"",""พรบ!AM68"")"),9000)</f>
        <v>9000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1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IFERROR(__xludf.DUMMYFUNCTION("IMPORTRANGE(""https://docs.google.com/spreadsheets/d/1C3CXT74ZlgGe6_JY_1olB1XN4rF0dxEuIIF-xsYjHgg/edit?usp=sharing"",""พรบ!AO68"")"),20000)</f>
        <v>20000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IFERROR(__xludf.DUMMYFUNCTION("IMPORTRANGE(""https://docs.google.com/spreadsheets/d/1C3CXT74ZlgGe6_JY_1olB1XN4rF0dxEuIIF-xsYjHgg/edit?usp=sharing"",""พรบ!AP68"")"),20000)</f>
        <v>20000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IFERROR(__xludf.DUMMYFUNCTION("IMPORTRANGE(""https://docs.google.com/spreadsheets/d/1C3CXT74ZlgGe6_JY_1olB1XN4rF0dxEuIIF-xsYjHgg/edit?usp=sharing"",""กปร!F68"")"),5000)</f>
        <v>5000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IFERROR(__xludf.DUMMYFUNCTION("IMPORTRANGE(""https://docs.google.com/spreadsheets/d/1C3CXT74ZlgGe6_JY_1olB1XN4rF0dxEuIIF-xsYjHgg/edit?usp=sharing"",""พรบ!AQ68"")"),0)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IFERROR(__xludf.DUMMYFUNCTION("IMPORTRANGE(""https://docs.google.com/spreadsheets/d/1C3CXT74ZlgGe6_JY_1olB1XN4rF0dxEuIIF-xsYjHgg/edit?usp=sharing"",""กปร!G68"")"),0)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IFERROR(__xludf.DUMMYFUNCTION("IMPORTRANGE(""https://docs.google.com/spreadsheets/d/1C3CXT74ZlgGe6_JY_1olB1XN4rF0dxEuIIF-xsYjHgg/edit?usp=sharing"",""พรบ!AR68"")"),0)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IFERROR(__xludf.DUMMYFUNCTION("IMPORTRANGE(""https://docs.google.com/spreadsheets/d/1C3CXT74ZlgGe6_JY_1olB1XN4rF0dxEuIIF-xsYjHgg/edit?usp=sharing"",""พรบ!AS68"")"),0)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IFERROR(__xludf.DUMMYFUNCTION("IMPORTRANGE(""https://docs.google.com/spreadsheets/d/1C3CXT74ZlgGe6_JY_1olB1XN4rF0dxEuIIF-xsYjHgg/edit?usp=sharing"",""กปร!H68"")"),0)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IFERROR(__xludf.DUMMYFUNCTION("IMPORTRANGE(""https://docs.google.com/spreadsheets/d/1C3CXT74ZlgGe6_JY_1olB1XN4rF0dxEuIIF-xsYjHgg/edit?usp=sharing"",""พรบ!AT68"")"),0)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IFERROR(__xludf.DUMMYFUNCTION("IMPORTRANGE(""https://docs.google.com/spreadsheets/d/1C3CXT74ZlgGe6_JY_1olB1XN4rF0dxEuIIF-xsYjHgg/edit?usp=sharing"",""กปร!I68"")"),0)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IFERROR(__xludf.DUMMYFUNCTION("IMPORTRANGE(""https://docs.google.com/spreadsheets/d/1C3CXT74ZlgGe6_JY_1olB1XN4rF0dxEuIIF-xsYjHgg/edit?usp=sharing"",""พรบ!AU68"")"),0)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IFERROR(__xludf.DUMMYFUNCTION("IMPORTRANGE(""https://docs.google.com/spreadsheets/d/1C3CXT74ZlgGe6_JY_1olB1XN4rF0dxEuIIF-xsYjHgg/edit?usp=sharing"",""กปร!J68"")"),0)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7">
        <v>0</v>
      </c>
      <c r="K143" s="358"/>
      <c r="L143" s="359"/>
      <c r="M143" s="359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14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20210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20210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IFERROR(__xludf.DUMMYFUNCTION("IMPORTRANGE(""https://docs.google.com/spreadsheets/d/1C3CXT74ZlgGe6_JY_1olB1XN4rF0dxEuIIF-xsYjHgg/edit?usp=sharing"",""พรบ!AY68"")"),20210)</f>
        <v>20210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14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1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IFERROR(__xludf.DUMMYFUNCTION("IMPORTRANGE(""https://docs.google.com/spreadsheets/d/1C3CXT74ZlgGe6_JY_1olB1XN4rF0dxEuIIF-xsYjHgg/edit?usp=sharing"",""พรบ!BA68"")"),14)</f>
        <v>14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66"/>
      <c r="K172" s="232"/>
      <c r="L172" s="52">
        <f ca="1">IFERROR(__xludf.DUMMYFUNCTION("IMPORTRANGE(""https://docs.google.com/spreadsheets/d/1C3CXT74ZlgGe6_JY_1olB1XN4rF0dxEuIIF-xsYjHgg/edit?usp=sharing"",""พรบ!BD68"")"),0)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66"/>
      <c r="K173" s="232"/>
      <c r="L173" s="52">
        <f ca="1">IFERROR(__xludf.DUMMYFUNCTION("IMPORTRANGE(""https://docs.google.com/spreadsheets/d/1C3CXT74ZlgGe6_JY_1olB1XN4rF0dxEuIIF-xsYjHgg/edit?usp=sharing"",""พรบ!BE68"")"),0)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IFERROR(__xludf.DUMMYFUNCTION("IMPORTRANGE(""https://docs.google.com/spreadsheets/d/1C3CXT74ZlgGe6_JY_1olB1XN4rF0dxEuIIF-xsYjHgg/edit?usp=sharing"",""พรบ!BF68"")"),0)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IFERROR(__xludf.DUMMYFUNCTION("IMPORTRANGE(""https://docs.google.com/spreadsheets/d/1C3CXT74ZlgGe6_JY_1olB1XN4rF0dxEuIIF-xsYjHgg/edit?usp=sharing"",""พรบ!BG68"")"),0)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IFERROR(__xludf.DUMMYFUNCTION("IMPORTRANGE(""https://docs.google.com/spreadsheets/d/1C3CXT74ZlgGe6_JY_1olB1XN4rF0dxEuIIF-xsYjHgg/edit?usp=sharing"",""พรบ!BH68"")"),0)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IFERROR(__xludf.DUMMYFUNCTION("IMPORTRANGE(""https://docs.google.com/spreadsheets/d/1C3CXT74ZlgGe6_JY_1olB1XN4rF0dxEuIIF-xsYjHgg/edit?usp=sharing"",""พรบ!BI68"")"),0)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7">
        <v>0</v>
      </c>
      <c r="K184" s="358"/>
      <c r="L184" s="359"/>
      <c r="M184" s="359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0</v>
      </c>
      <c r="J185" s="177">
        <f>+J195</f>
        <v>0</v>
      </c>
      <c r="K185" s="178">
        <f ca="1">IF(I185&gt;0,J185*100/I185,0)</f>
        <v>0</v>
      </c>
      <c r="L185" s="179">
        <f ca="1">L186+L187</f>
        <v>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66"/>
      <c r="K188" s="232"/>
      <c r="L188" s="52">
        <f ca="1">IFERROR(__xludf.DUMMYFUNCTION("IMPORTRANGE(""https://docs.google.com/spreadsheets/d/1C3CXT74ZlgGe6_JY_1olB1XN4rF0dxEuIIF-xsYjHgg/edit?usp=sharing"",""พรบ!BK68"")"),0)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66"/>
      <c r="K189" s="232"/>
      <c r="L189" s="52">
        <f ca="1">IFERROR(__xludf.DUMMYFUNCTION("IMPORTRANGE(""https://docs.google.com/spreadsheets/d/1C3CXT74ZlgGe6_JY_1olB1XN4rF0dxEuIIF-xsYjHgg/edit?usp=sharing"",""พรบ!BL68"")"),0)</f>
        <v>0</v>
      </c>
      <c r="M189" s="52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66"/>
      <c r="K190" s="232"/>
      <c r="L190" s="52"/>
      <c r="M190" s="52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6">
        <v>0</v>
      </c>
      <c r="K191" s="232"/>
      <c r="L191" s="52"/>
      <c r="M191" s="52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6">
        <v>0</v>
      </c>
      <c r="K192" s="232"/>
      <c r="L192" s="52"/>
      <c r="M192" s="52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6">
        <v>0</v>
      </c>
      <c r="K193" s="232"/>
      <c r="L193" s="52"/>
      <c r="M193" s="52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6">
        <v>0</v>
      </c>
      <c r="K194" s="232"/>
      <c r="L194" s="52"/>
      <c r="M194" s="52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IFERROR(__xludf.DUMMYFUNCTION("IMPORTRANGE(""https://docs.google.com/spreadsheets/d/1C3CXT74ZlgGe6_JY_1olB1XN4rF0dxEuIIF-xsYjHgg/edit?usp=sharing"",""พรบ!BM68"")"),0)</f>
        <v>0</v>
      </c>
      <c r="J195" s="66">
        <v>0</v>
      </c>
      <c r="K195" s="232">
        <f ca="1">IF(I195&gt;0,J195*100/I195,0)</f>
        <v>0</v>
      </c>
      <c r="L195" s="52"/>
      <c r="M195" s="52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6">
        <v>0</v>
      </c>
      <c r="K196" s="232"/>
      <c r="L196" s="52"/>
      <c r="M196" s="52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356">
        <v>0</v>
      </c>
      <c r="K197" s="232"/>
      <c r="L197" s="52"/>
      <c r="M197" s="52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IFERROR(__xludf.DUMMYFUNCTION("IMPORTRANGE(""https://docs.google.com/spreadsheets/d/1C3CXT74ZlgGe6_JY_1olB1XN4rF0dxEuIIF-xsYjHgg/edit?usp=sharing"",""พรบ!BP68"")"),0)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IFERROR(__xludf.DUMMYFUNCTION("IMPORTRANGE(""https://docs.google.com/spreadsheets/d/1C3CXT74ZlgGe6_JY_1olB1XN4rF0dxEuIIF-xsYjHgg/edit?usp=sharing"",""พรบ!BQ68"")"),0)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IFERROR(__xludf.DUMMYFUNCTION("IMPORTRANGE(""https://docs.google.com/spreadsheets/d/1C3CXT74ZlgGe6_JY_1olB1XN4rF0dxEuIIF-xsYjHgg/edit?usp=sharing"",""พรบ!BR68"")"),0)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66"/>
      <c r="K215" s="232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66"/>
      <c r="K216" s="232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66"/>
      <c r="K217" s="232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IFERROR(__xludf.DUMMYFUNCTION("IMPORTRANGE(""https://docs.google.com/spreadsheets/d/1C3CXT74ZlgGe6_JY_1olB1XN4rF0dxEuIIF-xsYjHgg/edit?usp=sharing"",""พรบ!BU68"")"),0)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52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52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52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52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52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IFERROR(__xludf.DUMMYFUNCTION("IMPORTRANGE(""https://docs.google.com/spreadsheets/d/1C3CXT74ZlgGe6_JY_1olB1XN4rF0dxEuIIF-xsYjHgg/edit?usp=sharing"",""พรบ!BV68"")"),0)</f>
        <v>0</v>
      </c>
      <c r="J224" s="66">
        <v>0</v>
      </c>
      <c r="K224" s="232">
        <f ca="1">IF(I224&gt;0,J224*100/I224,0)</f>
        <v>0</v>
      </c>
      <c r="L224" s="52"/>
      <c r="M224" s="52"/>
      <c r="N224" s="52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52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52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135</v>
      </c>
      <c r="J228" s="197">
        <f ca="1">J240</f>
        <v>0</v>
      </c>
      <c r="K228" s="178">
        <f ca="1">IF(I228&gt;0,J228*100/I228,0)</f>
        <v>0</v>
      </c>
      <c r="L228" s="179">
        <f ca="1">L229+L230</f>
        <v>784960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784960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IFERROR(__xludf.DUMMYFUNCTION("IMPORTRANGE(""https://docs.google.com/spreadsheets/d/1C3CXT74ZlgGe6_JY_1olB1XN4rF0dxEuIIF-xsYjHgg/edit?usp=sharing"",""พรบ!BX68"")"),505100)</f>
        <v>505100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IFERROR(__xludf.DUMMYFUNCTION("IMPORTRANGE(""https://docs.google.com/spreadsheets/d/1C3CXT74ZlgGe6_JY_1olB1XN4rF0dxEuIIF-xsYjHgg/edit?usp=sharing"",""พรบ!BY68"")"),279860)</f>
        <v>279860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IFERROR(__xludf.DUMMYFUNCTION("IMPORTRANGE(""https://docs.google.com/spreadsheets/d/1AGHcLOeeYFL3K4b9R1dSzyJy00PE_ra89DNTVfnxSWM/edit?usp=sharing"",""รวมที่ทำกิน!J57"")"),0)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IFERROR(__xludf.DUMMYFUNCTION("IMPORTRANGE(""https://docs.google.com/spreadsheets/d/1C3CXT74ZlgGe6_JY_1olB1XN4rF0dxEuIIF-xsYjHgg/edit?usp=sharing"",""พรบ!BZ68"")"),780)</f>
        <v>780</v>
      </c>
      <c r="J235" s="66">
        <f ca="1">IFERROR(__xludf.DUMMYFUNCTION("IMPORTRANGE(""https://docs.google.com/spreadsheets/d/1AGHcLOeeYFL3K4b9R1dSzyJy00PE_ra89DNTVfnxSWM/edit?usp=sharing"",""รวมที่ทำกิน!L57"")"),0)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IFERROR(__xludf.DUMMYFUNCTION("IMPORTRANGE(""https://docs.google.com/spreadsheets/d/1C3CXT74ZlgGe6_JY_1olB1XN4rF0dxEuIIF-xsYjHgg/edit?usp=sharing"",""พรบ!CA68"")"),135)</f>
        <v>135</v>
      </c>
      <c r="J236" s="66">
        <f ca="1">IFERROR(__xludf.DUMMYFUNCTION("IMPORTRANGE(""https://docs.google.com/spreadsheets/d/1AGHcLOeeYFL3K4b9R1dSzyJy00PE_ra89DNTVfnxSWM/edit?usp=sharing"",""รวมที่ทำกิน!O57"")"),0)</f>
        <v>0</v>
      </c>
      <c r="K236" s="200">
        <f t="shared" ca="1" si="52"/>
        <v>0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IFERROR(__xludf.DUMMYFUNCTION("IMPORTRANGE(""https://docs.google.com/spreadsheets/d/1AGHcLOeeYFL3K4b9R1dSzyJy00PE_ra89DNTVfnxSWM/edit?usp=sharing"",""รวมที่ทำกิน!Q57"")"),0)</f>
        <v>0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IFERROR(__xludf.DUMMYFUNCTION("IMPORTRANGE(""https://docs.google.com/spreadsheets/d/1C3CXT74ZlgGe6_JY_1olB1XN4rF0dxEuIIF-xsYjHgg/edit?usp=sharing"",""พรบ!CB68"")"),135)</f>
        <v>135</v>
      </c>
      <c r="J238" s="66">
        <f ca="1">IFERROR(__xludf.DUMMYFUNCTION("IMPORTRANGE(""https://docs.google.com/spreadsheets/d/1AGHcLOeeYFL3K4b9R1dSzyJy00PE_ra89DNTVfnxSWM/edit?usp=sharing"",""รวมที่ทำกิน!S57"")"),0)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IFERROR(__xludf.DUMMYFUNCTION("IMPORTRANGE(""https://docs.google.com/spreadsheets/d/1AGHcLOeeYFL3K4b9R1dSzyJy00PE_ra89DNTVfnxSWM/edit?usp=sharing"",""รวมที่ทำกิน!U57"")"),0)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IFERROR(__xludf.DUMMYFUNCTION("IMPORTRANGE(""https://docs.google.com/spreadsheets/d/1C3CXT74ZlgGe6_JY_1olB1XN4rF0dxEuIIF-xsYjHgg/edit?usp=sharing"",""พรบ!CC68"")"),135)</f>
        <v>135</v>
      </c>
      <c r="J240" s="66">
        <f ca="1">IFERROR(__xludf.DUMMYFUNCTION("IMPORTRANGE(""https://docs.google.com/spreadsheets/d/1AGHcLOeeYFL3K4b9R1dSzyJy00PE_ra89DNTVfnxSWM/edit?usp=sharing"",""รวมที่ทำกิน!W57"")"),0)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IFERROR(__xludf.DUMMYFUNCTION("IMPORTRANGE(""https://docs.google.com/spreadsheets/d/1AGHcLOeeYFL3K4b9R1dSzyJy00PE_ra89DNTVfnxSWM/edit?usp=sharing"",""รวมที่ทำกิน!Y57"")"),0)</f>
        <v>0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944579</v>
      </c>
      <c r="M242" s="213">
        <f t="shared" si="53"/>
        <v>0</v>
      </c>
      <c r="N242" s="213">
        <f ca="1">+IF(L242&gt;0,M242*100/L242,0)</f>
        <v>0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0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IFERROR(__xludf.DUMMYFUNCTION("IMPORTRANGE(""https://docs.google.com/spreadsheets/d/1C3CXT74ZlgGe6_JY_1olB1XN4rF0dxEuIIF-xsYjHgg/edit?usp=sharing"",""งบกองทุน!d68"")"),0)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IFERROR(__xludf.DUMMYFUNCTION("IMPORTRANGE(""https://docs.google.com/spreadsheets/d/1C3CXT74ZlgGe6_JY_1olB1XN4rF0dxEuIIF-xsYjHgg/edit?usp=sharing"",""งบกองทุน!e68"")"),0)</f>
        <v>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2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2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2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2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66"/>
      <c r="K254" s="232"/>
      <c r="L254" s="52"/>
      <c r="M254" s="52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6">
        <v>0</v>
      </c>
      <c r="K255" s="232"/>
      <c r="L255" s="52"/>
      <c r="M255" s="52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6">
        <v>0</v>
      </c>
      <c r="K256" s="232"/>
      <c r="L256" s="52" t="s">
        <v>21</v>
      </c>
      <c r="M256" s="52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6">
        <v>0</v>
      </c>
      <c r="K257" s="232"/>
      <c r="L257" s="52"/>
      <c r="M257" s="52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6">
        <v>0</v>
      </c>
      <c r="K258" s="232"/>
      <c r="L258" s="52"/>
      <c r="M258" s="52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232"/>
      <c r="L259" s="52"/>
      <c r="M259" s="52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IFERROR(__xludf.DUMMYFUNCTION("IMPORTRANGE(""https://docs.google.com/spreadsheets/d/1C3CXT74ZlgGe6_JY_1olB1XN4rF0dxEuIIF-xsYjHgg/edit?usp=sharing"",""งบกองทุน!f68"")"),0)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IFERROR(__xludf.DUMMYFUNCTION("IMPORTRANGE(""https://docs.google.com/spreadsheets/d/1C3CXT74ZlgGe6_JY_1olB1XN4rF0dxEuIIF-xsYjHgg/edit?usp=sharing"",""งบกองทุน!H68"")"),0)</f>
        <v>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IFERROR(__xludf.DUMMYFUNCTION("IMPORTRANGE(""https://docs.google.com/spreadsheets/d/1C3CXT74ZlgGe6_JY_1olB1XN4rF0dxEuIIF-xsYjHgg/edit?usp=sharing"",""งบกองทุน!i68"")"),0)</f>
        <v>0</v>
      </c>
      <c r="J264" s="66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0</v>
      </c>
      <c r="J265" s="66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IFERROR(__xludf.DUMMYFUNCTION("IMPORTRANGE(""https://docs.google.com/spreadsheets/d/1C3CXT74ZlgGe6_JY_1olB1XN4rF0dxEuIIF-xsYjHgg/edit?usp=sharing"",""งบกองทุน!k68"")"),0)</f>
        <v>0</v>
      </c>
      <c r="J266" s="66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0</v>
      </c>
      <c r="J267" s="66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IFERROR(__xludf.DUMMYFUNCTION("IMPORTRANGE(""https://docs.google.com/spreadsheets/d/1C3CXT74ZlgGe6_JY_1olB1XN4rF0dxEuIIF-xsYjHgg/edit?usp=sharing"",""งบกองทุน!m68"")"),0)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IFERROR(__xludf.DUMMYFUNCTION("IMPORTRANGE(""https://docs.google.com/spreadsheets/d/1C3CXT74ZlgGe6_JY_1olB1XN4rF0dxEuIIF-xsYjHgg/edit?usp=sharing"",""งบกองทุน!o68"")"),0)</f>
        <v>0</v>
      </c>
      <c r="J271" s="66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IFERROR(__xludf.DUMMYFUNCTION("IMPORTRANGE(""https://docs.google.com/spreadsheets/d/1C3CXT74ZlgGe6_JY_1olB1XN4rF0dxEuIIF-xsYjHgg/edit?usp=sharing"",""งบกองทุน!p68"")"),0)</f>
        <v>0</v>
      </c>
      <c r="J272" s="66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6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356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500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460140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50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460140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IFERROR(__xludf.DUMMYFUNCTION("IMPORTRANGE(""https://docs.google.com/spreadsheets/d/1C3CXT74ZlgGe6_JY_1olB1XN4rF0dxEuIIF-xsYjHgg/edit?usp=sharing"",""งบกองทุน!r68"")"),0)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IFERROR(__xludf.DUMMYFUNCTION("IMPORTRANGE(""https://docs.google.com/spreadsheets/d/1C3CXT74ZlgGe6_JY_1olB1XN4rF0dxEuIIF-xsYjHgg/edit?usp=sharing"",""งบกองทุน!s68"")"),460140)</f>
        <v>460140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1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0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IFERROR(__xludf.DUMMYFUNCTION("IMPORTRANGE(""https://docs.google.com/spreadsheets/d/1C3CXT74ZlgGe6_JY_1olB1XN4rF0dxEuIIF-xsYjHgg/edit?usp=sharing"",""งบกองทุน!v68"")"),50)</f>
        <v>50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IFERROR(__xludf.DUMMYFUNCTION("IMPORTRANGE(""https://docs.google.com/spreadsheets/d/1C3CXT74ZlgGe6_JY_1olB1XN4rF0dxEuIIF-xsYjHgg/edit?usp=sharing"",""งบกองทุน!w68"")"),500)</f>
        <v>500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IFERROR(__xludf.DUMMYFUNCTION("IMPORTRANGE(""https://docs.google.com/spreadsheets/d/1C3CXT74ZlgGe6_JY_1olB1XN4rF0dxEuIIF-xsYjHgg/edit?usp=sharing"",""งบกองทุน!x68"")"),50)</f>
        <v>50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90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95560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30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95560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IFERROR(__xludf.DUMMYFUNCTION("IMPORTRANGE(""https://docs.google.com/spreadsheets/d/1C3CXT74ZlgGe6_JY_1olB1XN4rF0dxEuIIF-xsYjHgg/edit?usp=sharing"",""งบกองทุน!z68"")"),0)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IFERROR(__xludf.DUMMYFUNCTION("IMPORTRANGE(""https://docs.google.com/spreadsheets/d/1C3CXT74ZlgGe6_JY_1olB1XN4rF0dxEuIIF-xsYjHgg/edit?usp=sharing"",""งบกองทุน!aa68"")"),95560)</f>
        <v>95560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1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30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IFERROR(__xludf.DUMMYFUNCTION("IMPORTRANGE(""https://docs.google.com/spreadsheets/d/1C3CXT74ZlgGe6_JY_1olB1XN4rF0dxEuIIF-xsYjHgg/edit?usp=sharing"",""งบกองทุน!ae68"")"),0)</f>
        <v>0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IFERROR(__xludf.DUMMYFUNCTION("IMPORTRANGE(""https://docs.google.com/spreadsheets/d/1C3CXT74ZlgGe6_JY_1olB1XN4rF0dxEuIIF-xsYjHgg/edit?usp=sharing"",""งบกองทุน!ad68"")"),0)</f>
        <v>0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IFERROR(__xludf.DUMMYFUNCTION("IMPORTRANGE(""https://docs.google.com/spreadsheets/d/1C3CXT74ZlgGe6_JY_1olB1XN4rF0dxEuIIF-xsYjHgg/edit?usp=sharing"",""งบกองทุน!af68"")"),0)</f>
        <v>0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IFERROR(__xludf.DUMMYFUNCTION("IMPORTRANGE(""https://docs.google.com/spreadsheets/d/1C3CXT74ZlgGe6_JY_1olB1XN4rF0dxEuIIF-xsYjHgg/edit?usp=sharing"",""งบกองทุน!ag68"")"),0)</f>
        <v>0</v>
      </c>
      <c r="J315" s="247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IFERROR(__xludf.DUMMYFUNCTION("IMPORTRANGE(""https://docs.google.com/spreadsheets/d/1C3CXT74ZlgGe6_JY_1olB1XN4rF0dxEuIIF-xsYjHgg/edit?usp=sharing"",""งบกองทุน!ai68"")"),16)</f>
        <v>16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IFERROR(__xludf.DUMMYFUNCTION("IMPORTRANGE(""https://docs.google.com/spreadsheets/d/1C3CXT74ZlgGe6_JY_1olB1XN4rF0dxEuIIF-xsYjHgg/edit?usp=sharing"",""งบกองทุน!ah68"")"),48)</f>
        <v>48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IFERROR(__xludf.DUMMYFUNCTION("IMPORTRANGE(""https://docs.google.com/spreadsheets/d/1C3CXT74ZlgGe6_JY_1olB1XN4rF0dxEuIIF-xsYjHgg/edit?usp=sharing"",""งบกองทุน!aj68"")"),16)</f>
        <v>16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IFERROR(__xludf.DUMMYFUNCTION("IMPORTRANGE(""https://docs.google.com/spreadsheets/d/1C3CXT74ZlgGe6_JY_1olB1XN4rF0dxEuIIF-xsYjHgg/edit?usp=sharing"",""งบกองทุน!ak68"")"),16)</f>
        <v>16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IFERROR(__xludf.DUMMYFUNCTION("IMPORTRANGE(""https://docs.google.com/spreadsheets/d/1C3CXT74ZlgGe6_JY_1olB1XN4rF0dxEuIIF-xsYjHgg/edit?usp=sharing"",""งบกองทุน!al68"")"),16)</f>
        <v>16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IFERROR(__xludf.DUMMYFUNCTION("IMPORTRANGE(""https://docs.google.com/spreadsheets/d/1C3CXT74ZlgGe6_JY_1olB1XN4rF0dxEuIIF-xsYjHgg/edit?usp=sharing"",""งบกองทุน!an68"")"),14)</f>
        <v>14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IFERROR(__xludf.DUMMYFUNCTION("IMPORTRANGE(""https://docs.google.com/spreadsheets/d/1C3CXT74ZlgGe6_JY_1olB1XN4rF0dxEuIIF-xsYjHgg/edit?usp=sharing"",""งบกองทุน!am68"")"),42)</f>
        <v>42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IFERROR(__xludf.DUMMYFUNCTION("IMPORTRANGE(""https://docs.google.com/spreadsheets/d/1C3CXT74ZlgGe6_JY_1olB1XN4rF0dxEuIIF-xsYjHgg/edit?usp=sharing"",""งบกองทุน!ao68"")"),14)</f>
        <v>14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IFERROR(__xludf.DUMMYFUNCTION("IMPORTRANGE(""https://docs.google.com/spreadsheets/d/1C3CXT74ZlgGe6_JY_1olB1XN4rF0dxEuIIF-xsYjHgg/edit?usp=sharing"",""งบกองทุน!ap68"")"),14)</f>
        <v>14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16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IFERROR(__xludf.DUMMYFUNCTION("IMPORTRANGE(""https://docs.google.com/spreadsheets/d/1C3CXT74ZlgGe6_JY_1olB1XN4rF0dxEuIIF-xsYjHgg/edit?usp=sharing"",""งบกองทุน!ar68"")"),0)</f>
        <v>0</v>
      </c>
      <c r="J326" s="67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IFERROR(__xludf.DUMMYFUNCTION("IMPORTRANGE(""https://docs.google.com/spreadsheets/d/1C3CXT74ZlgGe6_JY_1olB1XN4rF0dxEuIIF-xsYjHgg/edit?usp=sharing"",""งบกองทุน!as68"")"),16)</f>
        <v>16</v>
      </c>
      <c r="J327" s="67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10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71000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71000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IFERROR(__xludf.DUMMYFUNCTION("IMPORTRANGE(""https://docs.google.com/spreadsheets/d/1C3CXT74ZlgGe6_JY_1olB1XN4rF0dxEuIIF-xsYjHgg/edit?usp=sharing"",""งบกองทุน!au68"")"),0)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IFERROR(__xludf.DUMMYFUNCTION("IMPORTRANGE(""https://docs.google.com/spreadsheets/d/1C3CXT74ZlgGe6_JY_1olB1XN4rF0dxEuIIF-xsYjHgg/edit?usp=sharing"",""งบกองทุน!av68"")"),71000)</f>
        <v>71000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1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10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IFERROR(__xludf.DUMMYFUNCTION("IMPORTRANGE(""https://docs.google.com/spreadsheets/d/1C3CXT74ZlgGe6_JY_1olB1XN4rF0dxEuIIF-xsYjHgg/edit?usp=sharing"",""งบกองทุน!ay68"")"),10)</f>
        <v>10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IFERROR(__xludf.DUMMYFUNCTION("IMPORTRANGE(""https://docs.google.com/spreadsheets/d/1C3CXT74ZlgGe6_JY_1olB1XN4rF0dxEuIIF-xsYjHgg/edit?usp=sharing"",""งบกองทุน!az68"")"),0)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IFERROR(__xludf.DUMMYFUNCTION("IMPORTRANGE(""https://docs.google.com/spreadsheets/d/1C3CXT74ZlgGe6_JY_1olB1XN4rF0dxEuIIF-xsYjHgg/edit?usp=sharing"",""งบกองทุน!Ba68"")"),0)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19789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155069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155069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IFERROR(__xludf.DUMMYFUNCTION("IMPORTRANGE(""https://docs.google.com/spreadsheets/d/1C3CXT74ZlgGe6_JY_1olB1XN4rF0dxEuIIF-xsYjHgg/edit?usp=sharing"",""งบกองทุน!Bc68"")"),0)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IFERROR(__xludf.DUMMYFUNCTION("IMPORTRANGE(""https://docs.google.com/spreadsheets/d/1C3CXT74ZlgGe6_JY_1olB1XN4rF0dxEuIIF-xsYjHgg/edit?usp=sharing"",""งบกองทุน!Bd68"")"),155069)</f>
        <v>155069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IFERROR(__xludf.DUMMYFUNCTION("IMPORTRANGE(""https://docs.google.com/spreadsheets/d/1C3CXT74ZlgGe6_JY_1olB1XN4rF0dxEuIIF-xsYjHgg/edit?usp=sharing"",""งบกองทุน!BE68"")"),19789)</f>
        <v>19789</v>
      </c>
      <c r="J359" s="136">
        <f>+J376</f>
        <v>0</v>
      </c>
      <c r="K359" s="137">
        <f t="shared" ref="K359:K408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IFERROR(__xludf.DUMMYFUNCTION("IMPORTRANGE(""https://docs.google.com/spreadsheets/d/1C3CXT74ZlgGe6_JY_1olB1XN4rF0dxEuIIF-xsYjHgg/edit?usp=sharing"",""งบกองทุน!BE68"")"),19789)</f>
        <v>19789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IFERROR(__xludf.DUMMYFUNCTION("IMPORTRANGE(""https://docs.google.com/spreadsheets/d/1C3CXT74ZlgGe6_JY_1olB1XN4rF0dxEuIIF-xsYjHgg/edit?usp=sharing"",""งบกองทุน!Bf68"")"),2020)</f>
        <v>2020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19789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265">
        <f ca="1">I361</f>
        <v>2020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19789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265">
        <f ca="1">I361</f>
        <v>2020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IFERROR(__xludf.DUMMYFUNCTION("IMPORTRANGE(""https://docs.google.com/spreadsheets/d/1C3CXT74ZlgGe6_JY_1olB1XN4rF0dxEuIIF-xsYjHgg/edit?usp=sharing"",""งบกองทุน!cd68"")"),0)</f>
        <v>0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IFERROR(__xludf.DUMMYFUNCTION("IMPORTRANGE(""https://docs.google.com/spreadsheets/d/1C3CXT74ZlgGe6_JY_1olB1XN4rF0dxEuIIF-xsYjHgg/edit?usp=sharing"",""งบกองทุน!cd68"")"),0)</f>
        <v>0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IFERROR(__xludf.DUMMYFUNCTION("IMPORTRANGE(""https://docs.google.com/spreadsheets/d/1C3CXT74ZlgGe6_JY_1olB1XN4rF0dxEuIIF-xsYjHgg/edit?usp=sharing"",""งบกองทุน!cc68"")"),0)</f>
        <v>0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IFERROR(__xludf.DUMMYFUNCTION("IMPORTRANGE(""https://docs.google.com/spreadsheets/d/1C3CXT74ZlgGe6_JY_1olB1XN4rF0dxEuIIF-xsYjHgg/edit?usp=sharing"",""งบกองทุน!cz68"")"),0)</f>
        <v>0</v>
      </c>
      <c r="J409" s="136">
        <v>0</v>
      </c>
      <c r="K409" s="137"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IFERROR(__xludf.DUMMYFUNCTION("IMPORTRANGE(""https://docs.google.com/spreadsheets/d/1C3CXT74ZlgGe6_JY_1olB1XN4rF0dxEuIIF-xsYjHgg/edit?usp=sharing"",""งบกองทุน!cz68"")"),0)</f>
        <v>0</v>
      </c>
      <c r="J410" s="149">
        <v>0</v>
      </c>
      <c r="K410" s="146"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IFERROR(__xludf.DUMMYFUNCTION("IMPORTRANGE(""https://docs.google.com/spreadsheets/d/1C3CXT74ZlgGe6_JY_1olB1XN4rF0dxEuIIF-xsYjHgg/edit?usp=sharing"",""งบกองทุน!cy68"")"),0)</f>
        <v>0</v>
      </c>
      <c r="J411" s="149">
        <v>0</v>
      </c>
      <c r="K411" s="146"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IFERROR(__xludf.DUMMYFUNCTION("IMPORTRANGE(""https://docs.google.com/spreadsheets/d/1C3CXT74ZlgGe6_JY_1olB1XN4rF0dxEuIIF-xsYjHgg/edit?usp=sharing"",""งบกองทุน!db68"")"),0)</f>
        <v>0</v>
      </c>
      <c r="K412" s="48"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IFERROR(__xludf.DUMMYFUNCTION("IMPORTRANGE(""https://docs.google.com/spreadsheets/d/1C3CXT74ZlgGe6_JY_1olB1XN4rF0dxEuIIF-xsYjHgg/edit?usp=sharing"",""งบกองทุน!da68"")"),0)</f>
        <v>0</v>
      </c>
      <c r="K413" s="48"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IFERROR(__xludf.DUMMYFUNCTION("IMPORTRANGE(""https://docs.google.com/spreadsheets/d/1C3CXT74ZlgGe6_JY_1olB1XN4rF0dxEuIIF-xsYjHgg/edit?usp=sharing"",""งบกองทุน!dd68"")"),0)</f>
        <v>0</v>
      </c>
      <c r="K414" s="48"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IFERROR(__xludf.DUMMYFUNCTION("IMPORTRANGE(""https://docs.google.com/spreadsheets/d/1C3CXT74ZlgGe6_JY_1olB1XN4rF0dxEuIIF-xsYjHgg/edit?usp=sharing"",""งบกองทุน!dc68"")"),0)</f>
        <v>0</v>
      </c>
      <c r="K415" s="48"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IFERROR(__xludf.DUMMYFUNCTION("IMPORTRANGE(""https://docs.google.com/spreadsheets/d/1C3CXT74ZlgGe6_JY_1olB1XN4rF0dxEuIIF-xsYjHgg/edit?usp=sharing"",""งบกองทุน!df68"")"),0)</f>
        <v>0</v>
      </c>
      <c r="K416" s="48"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IFERROR(__xludf.DUMMYFUNCTION("IMPORTRANGE(""https://docs.google.com/spreadsheets/d/1C3CXT74ZlgGe6_JY_1olB1XN4rF0dxEuIIF-xsYjHgg/edit?usp=sharing"",""งบกองทุน!de68"")"),0)</f>
        <v>0</v>
      </c>
      <c r="K417" s="48"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4">
        <v>0</v>
      </c>
      <c r="J425" s="300">
        <v>0</v>
      </c>
      <c r="K425" s="301"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22</v>
      </c>
      <c r="J426" s="257">
        <f t="shared" si="91"/>
        <v>0</v>
      </c>
      <c r="K426" s="258">
        <f ca="1">IF(I426&gt;0,J426*100/I426,0)</f>
        <v>0</v>
      </c>
      <c r="L426" s="259">
        <f t="shared" ref="L426:M426" ca="1" si="92">SUM(L427:L428)</f>
        <v>34340</v>
      </c>
      <c r="M426" s="259">
        <f t="shared" si="92"/>
        <v>0</v>
      </c>
      <c r="N426" s="259">
        <f t="shared" ref="N426:N430" ca="1" si="93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34340</v>
      </c>
      <c r="M428" s="52">
        <f t="shared" si="94"/>
        <v>0</v>
      </c>
      <c r="N428" s="52">
        <f t="shared" ca="1" si="93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IFERROR(__xludf.DUMMYFUNCTION("IMPORTRANGE(""https://docs.google.com/spreadsheets/d/1C3CXT74ZlgGe6_JY_1olB1XN4rF0dxEuIIF-xsYjHgg/edit?usp=sharing"",""งบกองทุน!dn68"")"),0)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IFERROR(__xludf.DUMMYFUNCTION("IMPORTRANGE(""https://docs.google.com/spreadsheets/d/1C3CXT74ZlgGe6_JY_1olB1XN4rF0dxEuIIF-xsYjHgg/edit?usp=sharing"",""งบกองทุน!do68"")"),34340)</f>
        <v>34340</v>
      </c>
      <c r="M430" s="52">
        <f>SUM(M431:M434)</f>
        <v>0</v>
      </c>
      <c r="N430" s="52">
        <f t="shared" ca="1" si="93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1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0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IFERROR(__xludf.DUMMYFUNCTION("IMPORTRANGE(""https://docs.google.com/spreadsheets/d/1C3CXT74ZlgGe6_JY_1olB1XN4rF0dxEuIIF-xsYjHgg/edit?usp=sharing"",""งบกองทุน!dq68"")"),22)</f>
        <v>22</v>
      </c>
      <c r="J440" s="67">
        <v>0</v>
      </c>
      <c r="K440" s="48">
        <f t="shared" ref="K440:K441" ca="1" si="95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IFERROR(__xludf.DUMMYFUNCTION("IMPORTRANGE(""https://docs.google.com/spreadsheets/d/1C3CXT74ZlgGe6_JY_1olB1XN4rF0dxEuIIF-xsYjHgg/edit?usp=sharing"",""งบกองทุน!dr68"")"),22)</f>
        <v>22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IFERROR(__xludf.DUMMYFUNCTION("IMPORTRANGE(""https://docs.google.com/spreadsheets/d/1C3CXT74ZlgGe6_JY_1olB1XN4rF0dxEuIIF-xsYjHgg/edit?usp=sharing"",""งบกองทุน!dt68"")"),0)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IFERROR(__xludf.DUMMYFUNCTION("IMPORTRANGE(""https://docs.google.com/spreadsheets/d/1C3CXT74ZlgGe6_JY_1olB1XN4rF0dxEuIIF-xsYjHgg/edit?usp=sharing"",""งบกองทุน!du68"")"),0)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IFERROR(__xludf.DUMMYFUNCTION("IMPORTRANGE(""https://docs.google.com/spreadsheets/d/1C3CXT74ZlgGe6_JY_1olB1XN4rF0dxEuIIF-xsYjHgg/edit?usp=sharing"",""งบกองทุน!dw68"")"),0)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IFERROR(__xludf.DUMMYFUNCTION("IMPORTRANGE(""https://docs.google.com/spreadsheets/d/1C3CXT74ZlgGe6_JY_1olB1XN4rF0dxEuIIF-xsYjHgg/edit?usp=sharing"",""งบกองทุน!dx68"")"),0)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IFERROR(__xludf.DUMMYFUNCTION("IMPORTRANGE(""https://docs.google.com/spreadsheets/d/1C3CXT74ZlgGe6_JY_1olB1XN4rF0dxEuIIF-xsYjHgg/edit?usp=sharing"",""งบกองทุน!dy68"")"),0)</f>
        <v>0</v>
      </c>
      <c r="J455" s="66">
        <v>0</v>
      </c>
      <c r="K455" s="232">
        <f t="shared" ca="1" si="100"/>
        <v>0</v>
      </c>
      <c r="L455" s="52"/>
      <c r="M455" s="52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IFERROR(__xludf.DUMMYFUNCTION("IMPORTRANGE(""https://docs.google.com/spreadsheets/d/1C3CXT74ZlgGe6_JY_1olB1XN4rF0dxEuIIF-xsYjHgg/edit?usp=sharing"",""งบกองทุน!dz68"")"),0)</f>
        <v>0</v>
      </c>
      <c r="J456" s="66">
        <v>0</v>
      </c>
      <c r="K456" s="48">
        <f t="shared" ca="1" si="100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700</v>
      </c>
      <c r="J457" s="226">
        <f>+J466</f>
        <v>0</v>
      </c>
      <c r="K457" s="227">
        <f t="shared" ca="1" si="100"/>
        <v>0</v>
      </c>
      <c r="L457" s="228">
        <f t="shared" ref="L457:M457" ca="1" si="101">SUM(L458:L459)</f>
        <v>121520</v>
      </c>
      <c r="M457" s="228">
        <f t="shared" si="101"/>
        <v>0</v>
      </c>
      <c r="N457" s="228">
        <f t="shared" ref="N457:N461" ca="1" si="102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121520</v>
      </c>
      <c r="M459" s="52">
        <f t="shared" si="103"/>
        <v>0</v>
      </c>
      <c r="N459" s="52">
        <f t="shared" ca="1" si="102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IFERROR(__xludf.DUMMYFUNCTION("IMPORTRANGE(""https://docs.google.com/spreadsheets/d/1C3CXT74ZlgGe6_JY_1olB1XN4rF0dxEuIIF-xsYjHgg/edit?usp=sharing"",""งบกองทุน!Eb68"")"),0)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IFERROR(__xludf.DUMMYFUNCTION("IMPORTRANGE(""https://docs.google.com/spreadsheets/d/1C3CXT74ZlgGe6_JY_1olB1XN4rF0dxEuIIF-xsYjHgg/edit?usp=sharing"",""งบกองทุน!Ec68"")"),121520)</f>
        <v>121520</v>
      </c>
      <c r="M461" s="52">
        <f>SUM(M462:M465)</f>
        <v>0</v>
      </c>
      <c r="N461" s="52">
        <f t="shared" ca="1" si="102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IFERROR(__xludf.DUMMYFUNCTION("IMPORTRANGE(""https://docs.google.com/spreadsheets/d/1C3CXT74ZlgGe6_JY_1olB1XN4rF0dxEuIIF-xsYjHgg/edit?usp=sharing"",""งบกองทุน!Ed68"")"),700)</f>
        <v>700</v>
      </c>
      <c r="J466" s="265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0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0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IFERROR(__xludf.DUMMYFUNCTION("IMPORTRANGE(""https://docs.google.com/spreadsheets/d/1C3CXT74ZlgGe6_JY_1olB1XN4rF0dxEuIIF-xsYjHgg/edit?usp=sharing"",""งบกองทุน!Ek68"")"),0)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IFERROR(__xludf.DUMMYFUNCTION("IMPORTRANGE(""https://docs.google.com/spreadsheets/d/1C3CXT74ZlgGe6_JY_1olB1XN4rF0dxEuIIF-xsYjHgg/edit?usp=sharing"",""งบกองทุน!El68"")"),0)</f>
        <v>0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IFERROR(__xludf.DUMMYFUNCTION("IMPORTRANGE(""https://docs.google.com/spreadsheets/d/1C3CXT74ZlgGe6_JY_1olB1XN4rF0dxEuIIF-xsYjHgg/edit?usp=sharing"",""งบกองทุน!Em68"")"),0)</f>
        <v>0</v>
      </c>
      <c r="J482" s="66">
        <f ca="1">IFERROR(__xludf.DUMMYFUNCTION("IMPORTRANGE(""https://docs.google.com/spreadsheets/d/1AGHcLOeeYFL3K4b9R1dSzyJy00PE_ra89DNTVfnxSWM/edit?usp=sharing"",""รวมที่ชุมชน!G57"")"),0)</f>
        <v>0</v>
      </c>
      <c r="K482" s="48">
        <f t="shared" ref="K482:K489" ca="1" si="107">IF(I482&gt;0,J482*100/I482,0)</f>
        <v>0</v>
      </c>
      <c r="L482" s="60"/>
      <c r="M482" s="52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IFERROR(__xludf.DUMMYFUNCTION("IMPORTRANGE(""https://docs.google.com/spreadsheets/d/1C3CXT74ZlgGe6_JY_1olB1XN4rF0dxEuIIF-xsYjHgg/edit?usp=sharing"",""งบกองทุน!En68"")"),0)</f>
        <v>0</v>
      </c>
      <c r="J483" s="66">
        <f ca="1">IFERROR(__xludf.DUMMYFUNCTION("IMPORTRANGE(""https://docs.google.com/spreadsheets/d/1AGHcLOeeYFL3K4b9R1dSzyJy00PE_ra89DNTVfnxSWM/edit?usp=sharing"",""รวมที่ชุมชน!H57"")"),0)</f>
        <v>0</v>
      </c>
      <c r="K483" s="200">
        <f t="shared" ca="1" si="107"/>
        <v>0</v>
      </c>
      <c r="L483" s="60"/>
      <c r="M483" s="60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IFERROR(__xludf.DUMMYFUNCTION("IMPORTRANGE(""https://docs.google.com/spreadsheets/d/1C3CXT74ZlgGe6_JY_1olB1XN4rF0dxEuIIF-xsYjHgg/edit?usp=sharing"",""งบกองทุน!Eo68"")"),0)</f>
        <v>0</v>
      </c>
      <c r="J484" s="66">
        <f ca="1">IFERROR(__xludf.DUMMYFUNCTION("IMPORTRANGE(""https://docs.google.com/spreadsheets/d/1AGHcLOeeYFL3K4b9R1dSzyJy00PE_ra89DNTVfnxSWM/edit?usp=sharing"",""รวมที่ชุมชน!J57"")"),0)</f>
        <v>0</v>
      </c>
      <c r="K484" s="48">
        <f t="shared" ca="1" si="107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IFERROR(__xludf.DUMMYFUNCTION("IMPORTRANGE(""https://docs.google.com/spreadsheets/d/1C3CXT74ZlgGe6_JY_1olB1XN4rF0dxEuIIF-xsYjHgg/edit?usp=sharing"",""งบกองทุน!Ep68"")"),0)</f>
        <v>0</v>
      </c>
      <c r="J485" s="66">
        <f ca="1">IFERROR(__xludf.DUMMYFUNCTION("IMPORTRANGE(""https://docs.google.com/spreadsheets/d/1AGHcLOeeYFL3K4b9R1dSzyJy00PE_ra89DNTVfnxSWM/edit?usp=sharing"",""รวมที่ชุมชน!L57"")"),0)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IFERROR(__xludf.DUMMYFUNCTION("IMPORTRANGE(""https://docs.google.com/spreadsheets/d/1C3CXT74ZlgGe6_JY_1olB1XN4rF0dxEuIIF-xsYjHgg/edit?usp=sharing"",""งบกองทุน!Eq68"")"),0)</f>
        <v>0</v>
      </c>
      <c r="J486" s="66">
        <f ca="1">IFERROR(__xludf.DUMMYFUNCTION("IMPORTRANGE(""https://docs.google.com/spreadsheets/d/1AGHcLOeeYFL3K4b9R1dSzyJy00PE_ra89DNTVfnxSWM/edit?usp=sharing"",""รวมที่ชุมชน!S57"")"),0)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IFERROR(__xludf.DUMMYFUNCTION("IMPORTRANGE(""https://docs.google.com/spreadsheets/d/1C3CXT74ZlgGe6_JY_1olB1XN4rF0dxEuIIF-xsYjHgg/edit?usp=sharing"",""งบกองทุน!Er68"")"),0)</f>
        <v>0</v>
      </c>
      <c r="J487" s="66">
        <f ca="1">IFERROR(__xludf.DUMMYFUNCTION("IMPORTRANGE(""https://docs.google.com/spreadsheets/d/1AGHcLOeeYFL3K4b9R1dSzyJy00PE_ra89DNTVfnxSWM/edit?usp=sharing"",""รวมที่ชุมชน!U57"")"),0)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IFERROR(__xludf.DUMMYFUNCTION("IMPORTRANGE(""https://docs.google.com/spreadsheets/d/1C3CXT74ZlgGe6_JY_1olB1XN4rF0dxEuIIF-xsYjHgg/edit?usp=sharing"",""งบกองทุน!Es68"")"),0)</f>
        <v>0</v>
      </c>
      <c r="J488" s="66">
        <f ca="1">IFERROR(__xludf.DUMMYFUNCTION("IMPORTRANGE(""https://docs.google.com/spreadsheets/d/1AGHcLOeeYFL3K4b9R1dSzyJy00PE_ra89DNTVfnxSWM/edit?usp=sharing"",""รวมที่ชุมชน!V57"")"),0)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IFERROR(__xludf.DUMMYFUNCTION("IMPORTRANGE(""https://docs.google.com/spreadsheets/d/1C3CXT74ZlgGe6_JY_1olB1XN4rF0dxEuIIF-xsYjHgg/edit?usp=sharing"",""งบกองทุน!Et68"")"),0)</f>
        <v>0</v>
      </c>
      <c r="J489" s="111">
        <f ca="1">IFERROR(__xludf.DUMMYFUNCTION("IMPORTRANGE(""https://docs.google.com/spreadsheets/d/1AGHcLOeeYFL3K4b9R1dSzyJy00PE_ra89DNTVfnxSWM/edit?usp=sharing"",""รวมที่ชุมชน!X57"")"),0)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50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6950</v>
      </c>
      <c r="M490" s="259">
        <f>SUM(M491:M492)</f>
        <v>0</v>
      </c>
      <c r="N490" s="259">
        <f t="shared" ref="N490:N494" ca="1" si="109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6950</v>
      </c>
      <c r="M492" s="52">
        <f t="shared" si="110"/>
        <v>0</v>
      </c>
      <c r="N492" s="52">
        <f t="shared" ca="1" si="109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IFERROR(__xludf.DUMMYFUNCTION("IMPORTRANGE(""https://docs.google.com/spreadsheets/d/1C3CXT74ZlgGe6_JY_1olB1XN4rF0dxEuIIF-xsYjHgg/edit?usp=sharing"",""งบกองทุน!Ev68"")"),0)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IFERROR(__xludf.DUMMYFUNCTION("IMPORTRANGE(""https://docs.google.com/spreadsheets/d/1C3CXT74ZlgGe6_JY_1olB1XN4rF0dxEuIIF-xsYjHgg/edit?usp=sharing"",""งบกองทุน!Ew68"")"),6950)</f>
        <v>6950</v>
      </c>
      <c r="M494" s="52">
        <f>SUM(M495:M498)</f>
        <v>0</v>
      </c>
      <c r="N494" s="52">
        <f t="shared" ca="1" si="109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IFERROR(__xludf.DUMMYFUNCTION("IMPORTRANGE(""https://docs.google.com/spreadsheets/d/1C3CXT74ZlgGe6_JY_1olB1XN4rF0dxEuIIF-xsYjHgg/edit?usp=sharing"",""งบกองทุน!EZ68"")"),50)</f>
        <v>50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IFERROR(__xludf.DUMMYFUNCTION("IMPORTRANGE(""https://docs.google.com/spreadsheets/d/1C3CXT74ZlgGe6_JY_1olB1XN4rF0dxEuIIF-xsYjHgg/edit?usp=sharing"",""งบกองทุน!ff68"")"),0)</f>
        <v>0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IFERROR(__xludf.DUMMYFUNCTION("IMPORTRANGE(""https://docs.google.com/spreadsheets/d/1muirlRDkqiswvy_NRZ3Yh955hx-PF6_HhssUYiSJj8o/edit?usp=sharing"",""กองทุน!D68"")"),1925793.17)</f>
        <v>1925793.17</v>
      </c>
      <c r="J521" s="199">
        <f ca="1">IFERROR(__xludf.DUMMYFUNCTION("IMPORTRANGE(""https://docs.google.com/spreadsheets/d/1muirlRDkqiswvy_NRZ3Yh955hx-PF6_HhssUYiSJj8o/edit?usp=sharing"",""กองทุน!F68"")"),7000)</f>
        <v>7000</v>
      </c>
      <c r="K521" s="200">
        <f t="shared" ref="K521:K528" ca="1" si="116">IF(I521&gt;0,J521*100/I521,0)</f>
        <v>0.36348659394196525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IFERROR(__xludf.DUMMYFUNCTION("IMPORTRANGE(""https://docs.google.com/spreadsheets/d/1muirlRDkqiswvy_NRZ3Yh955hx-PF6_HhssUYiSJj8o/edit?usp=sharing"",""กองทุน!C68"")"),145)</f>
        <v>145</v>
      </c>
      <c r="J522" s="199">
        <f ca="1">IFERROR(__xludf.DUMMYFUNCTION("IMPORTRANGE(""https://docs.google.com/spreadsheets/d/1muirlRDkqiswvy_NRZ3Yh955hx-PF6_HhssUYiSJj8o/edit?usp=sharing"",""กองทุน!E68"")"),4)</f>
        <v>4</v>
      </c>
      <c r="K522" s="200">
        <f t="shared" ca="1" si="116"/>
        <v>2.7586206896551726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IFERROR(__xludf.DUMMYFUNCTION("IMPORTRANGE(""https://docs.google.com/spreadsheets/d/1muirlRDkqiswvy_NRZ3Yh955hx-PF6_HhssUYiSJj8o/edit?usp=sharing"",""กองทุน!I68"")"),316455.56)</f>
        <v>316455.56</v>
      </c>
      <c r="J523" s="199">
        <f ca="1">IFERROR(__xludf.DUMMYFUNCTION("IMPORTRANGE(""https://docs.google.com/spreadsheets/d/1muirlRDkqiswvy_NRZ3Yh955hx-PF6_HhssUYiSJj8o/edit?usp=sharing"",""กองทุน!K68"")"),14246)</f>
        <v>14246</v>
      </c>
      <c r="K523" s="200">
        <f t="shared" ca="1" si="116"/>
        <v>4.5017379375480084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IFERROR(__xludf.DUMMYFUNCTION("IMPORTRANGE(""https://docs.google.com/spreadsheets/d/1muirlRDkqiswvy_NRZ3Yh955hx-PF6_HhssUYiSJj8o/edit?usp=sharing"",""กองทุน!H68"")"),22)</f>
        <v>22</v>
      </c>
      <c r="J524" s="199">
        <f ca="1">IFERROR(__xludf.DUMMYFUNCTION("IMPORTRANGE(""https://docs.google.com/spreadsheets/d/1muirlRDkqiswvy_NRZ3Yh955hx-PF6_HhssUYiSJj8o/edit?usp=sharing"",""กองทุน!J68"")"),11)</f>
        <v>11</v>
      </c>
      <c r="K524" s="200">
        <f t="shared" ca="1" si="116"/>
        <v>50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IFERROR(__xludf.DUMMYFUNCTION("IMPORTRANGE(""https://docs.google.com/spreadsheets/d/1muirlRDkqiswvy_NRZ3Yh955hx-PF6_HhssUYiSJj8o/edit?usp=sharing"",""กองทุน!N68"")"),0)</f>
        <v>0</v>
      </c>
      <c r="J525" s="199">
        <f ca="1">IFERROR(__xludf.DUMMYFUNCTION("IMPORTRANGE(""https://docs.google.com/spreadsheets/d/1muirlRDkqiswvy_NRZ3Yh955hx-PF6_HhssUYiSJj8o/edit?usp=sharing"",""กองทุน!P68"")"),0)</f>
        <v>0</v>
      </c>
      <c r="K525" s="200">
        <f t="shared" ca="1" si="116"/>
        <v>0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IFERROR(__xludf.DUMMYFUNCTION("IMPORTRANGE(""https://docs.google.com/spreadsheets/d/1muirlRDkqiswvy_NRZ3Yh955hx-PF6_HhssUYiSJj8o/edit?usp=sharing"",""กองทุน!M68"")"),0)</f>
        <v>0</v>
      </c>
      <c r="J526" s="199">
        <f ca="1">IFERROR(__xludf.DUMMYFUNCTION("IMPORTRANGE(""https://docs.google.com/spreadsheets/d/1muirlRDkqiswvy_NRZ3Yh955hx-PF6_HhssUYiSJj8o/edit?usp=sharing"",""กองทุน!O68"")"),0)</f>
        <v>0</v>
      </c>
      <c r="K526" s="200">
        <f t="shared" ca="1" si="116"/>
        <v>0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IFERROR(__xludf.DUMMYFUNCTION("IMPORTRANGE(""https://docs.google.com/spreadsheets/d/1muirlRDkqiswvy_NRZ3Yh955hx-PF6_HhssUYiSJj8o/edit?usp=sharing"",""กองทุน!S68"")"),2000000)</f>
        <v>2000000</v>
      </c>
      <c r="J527" s="199">
        <f ca="1">IFERROR(__xludf.DUMMYFUNCTION("IMPORTRANGE(""https://docs.google.com/spreadsheets/d/1muirlRDkqiswvy_NRZ3Yh955hx-PF6_HhssUYiSJj8o/edit?usp=sharing"",""กองทุน!U68"")"),0)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IFERROR(__xludf.DUMMYFUNCTION("IMPORTRANGE(""https://docs.google.com/spreadsheets/d/1muirlRDkqiswvy_NRZ3Yh955hx-PF6_HhssUYiSJj8o/edit?usp=sharing"",""กองทุน!R68"")"),45)</f>
        <v>45</v>
      </c>
      <c r="J528" s="324">
        <f ca="1">IFERROR(__xludf.DUMMYFUNCTION("IMPORTRANGE(""https://docs.google.com/spreadsheets/d/1muirlRDkqiswvy_NRZ3Yh955hx-PF6_HhssUYiSJj8o/edit?usp=sharing"",""กองทุน!T68"")"),0)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A5" sqref="A5:G5"/>
      <selection pane="bottomLeft" activeCell="A5" sqref="A5:G5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68" t="s">
        <v>0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</row>
    <row r="2" spans="1:14" ht="18" customHeight="1" x14ac:dyDescent="0.55000000000000004">
      <c r="A2" s="368" t="s">
        <v>233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</row>
    <row r="3" spans="1:14" ht="18" customHeight="1" x14ac:dyDescent="0.55000000000000004">
      <c r="A3" s="368" t="s">
        <v>247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70" t="s">
        <v>4</v>
      </c>
      <c r="B5" s="371"/>
      <c r="C5" s="371"/>
      <c r="D5" s="371"/>
      <c r="E5" s="371"/>
      <c r="F5" s="371"/>
      <c r="G5" s="372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1526575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IFERROR(__xludf.DUMMYFUNCTION("IMPORTRANGE(""https://docs.google.com/spreadsheets/d/1C3CXT74ZlgGe6_JY_1olB1XN4rF0dxEuIIF-xsYjHgg/edit?usp=sharing"",""พรบ!C69"")"),0)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66"/>
      <c r="K13" s="232"/>
      <c r="L13" s="52">
        <f ca="1">IFERROR(__xludf.DUMMYFUNCTION("IMPORTRANGE(""https://docs.google.com/spreadsheets/d/1C3CXT74ZlgGe6_JY_1olB1XN4rF0dxEuIIF-xsYjHgg/edit?usp=sharing"",""พรบ!D69"")"),0)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66"/>
      <c r="K14" s="232"/>
      <c r="L14" s="52">
        <f ca="1">IFERROR(__xludf.DUMMYFUNCTION("IMPORTRANGE(""https://docs.google.com/spreadsheets/d/1C3CXT74ZlgGe6_JY_1olB1XN4rF0dxEuIIF-xsYjHgg/edit?usp=sharing"",""พรบ!E69"")"),0)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28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IFERROR(__xludf.DUMMYFUNCTION("IMPORTRANGE(""https://docs.google.com/spreadsheets/d/1C3CXT74ZlgGe6_JY_1olB1XN4rF0dxEuIIF-xsYjHgg/edit?usp=sharing"",""พรบ!H69"")"),0)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IFERROR(__xludf.DUMMYFUNCTION("IMPORTRANGE(""https://docs.google.com/spreadsheets/d/1C3CXT74ZlgGe6_JY_1olB1XN4rF0dxEuIIF-xsYjHgg/edit?usp=sharing"",""พรบ!I69"")"),0)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IFERROR(__xludf.DUMMYFUNCTION("IMPORTRANGE(""https://docs.google.com/spreadsheets/d/1C3CXT74ZlgGe6_JY_1olB1XN4rF0dxEuIIF-xsYjHgg/edit?usp=sharing"",""พรบ!J69"")"),0)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IFERROR(__xludf.DUMMYFUNCTION("IMPORTRANGE(""https://docs.google.com/spreadsheets/d/1C3CXT74ZlgGe6_JY_1olB1XN4rF0dxEuIIF-xsYjHgg/edit?usp=sharing"",""พรบ!K69"")"),0)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IFERROR(__xludf.DUMMYFUNCTION("IMPORTRANGE(""https://docs.google.com/spreadsheets/d/1C3CXT74ZlgGe6_JY_1olB1XN4rF0dxEuIIF-xsYjHgg/edit?usp=sharing"",""พรบ!L69"")"),0)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IFERROR(__xludf.DUMMYFUNCTION("IMPORTRANGE(""https://docs.google.com/spreadsheets/d/1C3CXT74ZlgGe6_JY_1olB1XN4rF0dxEuIIF-xsYjHgg/edit?usp=sharing"",""พรบ!M69"")"),0)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IFERROR(__xludf.DUMMYFUNCTION("IMPORTRANGE(""https://docs.google.com/spreadsheets/d/1C3CXT74ZlgGe6_JY_1olB1XN4rF0dxEuIIF-xsYjHgg/edit?usp=sharing"",""พรบ!N69"")"),0)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6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122100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1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IFERROR(__xludf.DUMMYFUNCTION("IMPORTRANGE(""https://docs.google.com/spreadsheets/d/1C3CXT74ZlgGe6_JY_1olB1XN4rF0dxEuIIF-xsYjHgg/edit?usp=sharing"",""พรบ!O69"")"),122100)</f>
        <v>122100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IFERROR(__xludf.DUMMYFUNCTION("IMPORTRANGE(""https://docs.google.com/spreadsheets/d/1C3CXT74ZlgGe6_JY_1olB1XN4rF0dxEuIIF-xsYjHgg/edit?usp=sharing"",""พรบ!P69"")"),0)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47"/>
      <c r="K37" s="48"/>
      <c r="L37" s="52">
        <f ca="1">IFERROR(__xludf.DUMMYFUNCTION("IMPORTRANGE(""https://docs.google.com/spreadsheets/d/1C3CXT74ZlgGe6_JY_1olB1XN4rF0dxEuIIF-xsYjHgg/edit?usp=sharing"",""พรบ!Q69"")"),122100)</f>
        <v>122100</v>
      </c>
      <c r="M37" s="53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47"/>
      <c r="K38" s="48"/>
      <c r="L38" s="60"/>
      <c r="M38" s="60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7">
        <v>0</v>
      </c>
      <c r="K39" s="48"/>
      <c r="L39" s="60"/>
      <c r="M39" s="60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7">
        <v>0</v>
      </c>
      <c r="K40" s="48"/>
      <c r="L40" s="60" t="s">
        <v>21</v>
      </c>
      <c r="M40" s="60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7">
        <v>0</v>
      </c>
      <c r="K41" s="48"/>
      <c r="L41" s="60"/>
      <c r="M41" s="60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7">
        <v>0</v>
      </c>
      <c r="K42" s="48"/>
      <c r="L42" s="60"/>
      <c r="M42" s="60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IFERROR(__xludf.DUMMYFUNCTION("IMPORTRANGE(""https://docs.google.com/spreadsheets/d/1C3CXT74ZlgGe6_JY_1olB1XN4rF0dxEuIIF-xsYjHgg/edit?usp=sharing"",""พรบ!R69"")"),1)</f>
        <v>1</v>
      </c>
      <c r="J43" s="67">
        <v>0</v>
      </c>
      <c r="K43" s="48">
        <f t="shared" ref="K43:K48" ca="1" si="11">IF(I43&gt;0,J43*100/I43,0)</f>
        <v>0</v>
      </c>
      <c r="L43" s="60"/>
      <c r="M43" s="60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IFERROR(__xludf.DUMMYFUNCTION("IMPORTRANGE(""https://docs.google.com/spreadsheets/d/1C3CXT74ZlgGe6_JY_1olB1XN4rF0dxEuIIF-xsYjHgg/edit?usp=sharing"",""พรบ!S69"")"),4)</f>
        <v>4</v>
      </c>
      <c r="J44" s="67">
        <v>0</v>
      </c>
      <c r="K44" s="48">
        <f t="shared" ca="1" si="11"/>
        <v>0</v>
      </c>
      <c r="L44" s="60"/>
      <c r="M44" s="60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IFERROR(__xludf.DUMMYFUNCTION("IMPORTRANGE(""https://docs.google.com/spreadsheets/d/1C3CXT74ZlgGe6_JY_1olB1XN4rF0dxEuIIF-xsYjHgg/edit?usp=sharing"",""พรบ!T69"")"),4)</f>
        <v>4</v>
      </c>
      <c r="J45" s="67">
        <v>0</v>
      </c>
      <c r="K45" s="48">
        <f t="shared" ca="1" si="11"/>
        <v>0</v>
      </c>
      <c r="L45" s="60"/>
      <c r="M45" s="60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IFERROR(__xludf.DUMMYFUNCTION("IMPORTRANGE(""https://docs.google.com/spreadsheets/d/1C3CXT74ZlgGe6_JY_1olB1XN4rF0dxEuIIF-xsYjHgg/edit?usp=sharing"",""พรบ!U69"")"),4)</f>
        <v>4</v>
      </c>
      <c r="J46" s="67">
        <v>0</v>
      </c>
      <c r="K46" s="48">
        <f t="shared" ca="1" si="11"/>
        <v>0</v>
      </c>
      <c r="L46" s="60"/>
      <c r="M46" s="60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IFERROR(__xludf.DUMMYFUNCTION("IMPORTRANGE(""https://docs.google.com/spreadsheets/d/1C3CXT74ZlgGe6_JY_1olB1XN4rF0dxEuIIF-xsYjHgg/edit?usp=sharing"",""พรบ!V69"")"),4)</f>
        <v>4</v>
      </c>
      <c r="J47" s="67">
        <v>0</v>
      </c>
      <c r="K47" s="48">
        <f t="shared" ca="1" si="11"/>
        <v>0</v>
      </c>
      <c r="L47" s="60"/>
      <c r="M47" s="60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IFERROR(__xludf.DUMMYFUNCTION("IMPORTRANGE(""https://docs.google.com/spreadsheets/d/1C3CXT74ZlgGe6_JY_1olB1XN4rF0dxEuIIF-xsYjHgg/edit?usp=sharing"",""พรบ!W69"")"),1)</f>
        <v>1</v>
      </c>
      <c r="J48" s="67">
        <v>0</v>
      </c>
      <c r="K48" s="48">
        <f t="shared" ca="1" si="11"/>
        <v>0</v>
      </c>
      <c r="L48" s="60"/>
      <c r="M48" s="60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7"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84"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IFERROR(__xludf.DUMMYFUNCTION("IMPORTRANGE(""https://docs.google.com/spreadsheets/d/1C3CXT74ZlgGe6_JY_1olB1XN4rF0dxEuIIF-xsYjHgg/edit?usp=sharing"",""พรบ!Y69"")"),0)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IFERROR(__xludf.DUMMYFUNCTION("IMPORTRANGE(""https://docs.google.com/spreadsheets/d/1C3CXT74ZlgGe6_JY_1olB1XN4rF0dxEuIIF-xsYjHgg/edit?usp=sharing"",""พรบ!Z69"")"),0)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246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IFERROR(__xludf.DUMMYFUNCTION("IMPORTRANGE(""https://docs.google.com/spreadsheets/d/1C3CXT74ZlgGe6_JY_1olB1XN4rF0dxEuIIF-xsYjHgg/edit?usp=sharing"",""พรบ!AA69"")"),0)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7">
        <v>0</v>
      </c>
      <c r="K65" s="358"/>
      <c r="L65" s="359"/>
      <c r="M65" s="359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20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431300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431300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IFERROR(__xludf.DUMMYFUNCTION("IMPORTRANGE(""https://docs.google.com/spreadsheets/d/1C3CXT74ZlgGe6_JY_1olB1XN4rF0dxEuIIF-xsYjHgg/edit?usp=sharing"",""พรบ!AD69"")"),305000)</f>
        <v>305000</v>
      </c>
      <c r="M72" s="53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126300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IFERROR(__xludf.DUMMYFUNCTION("IMPORTRANGE(""https://docs.google.com/spreadsheets/d/1C3CXT74ZlgGe6_JY_1olB1XN4rF0dxEuIIF-xsYjHgg/edit?usp=sharing"",""พรบ!AF69"")"),7500)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IFERROR(__xludf.DUMMYFUNCTION("IMPORTRANGE(""https://docs.google.com/spreadsheets/d/1C3CXT74ZlgGe6_JY_1olB1XN4rF0dxEuIIF-xsYjHgg/edit?usp=sharing"",""พรบ!AG69"")"),4)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3</v>
      </c>
      <c r="J89" s="149">
        <f t="shared" si="21"/>
        <v>0</v>
      </c>
      <c r="K89" s="150">
        <f ca="1">IF(I89&gt;0,J89*100/I89,0)</f>
        <v>0</v>
      </c>
      <c r="L89" s="147">
        <f ca="1">L90+L91</f>
        <v>42000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42000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IFERROR(__xludf.DUMMYFUNCTION("IMPORTRANGE(""https://docs.google.com/spreadsheets/d/1C3CXT74ZlgGe6_JY_1olB1XN4rF0dxEuIIF-xsYjHgg/edit?usp=sharing"",""พรบ!AH69"")"),42000)</f>
        <v>42000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IFERROR(__xludf.DUMMYFUNCTION("IMPORTRANGE(""https://docs.google.com/spreadsheets/d/1C3CXT74ZlgGe6_JY_1olB1XN4rF0dxEuIIF-xsYjHgg/edit?usp=sharing"",""พรบ!AI69"")"),3)</f>
        <v>3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IFERROR(__xludf.DUMMYFUNCTION("IMPORTRANGE(""https://docs.google.com/spreadsheets/d/1C3CXT74ZlgGe6_JY_1olB1XN4rF0dxEuIIF-xsYjHgg/edit?usp=sharing"",""กปร!C69"")"),36000)</f>
        <v>36000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IFERROR(__xludf.DUMMYFUNCTION("IMPORTRANGE(""https://docs.google.com/spreadsheets/d/1C3CXT74ZlgGe6_JY_1olB1XN4rF0dxEuIIF-xsYjHgg/edit?usp=sharing"",""พรบ!AJ69"")"),0)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IFERROR(__xludf.DUMMYFUNCTION("IMPORTRANGE(""https://docs.google.com/spreadsheets/d/1C3CXT74ZlgGe6_JY_1olB1XN4rF0dxEuIIF-xsYjHgg/edit?usp=sharing"",""พรบ!AK69"")"),0)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IFERROR(__xludf.DUMMYFUNCTION("IMPORTRANGE(""https://docs.google.com/spreadsheets/d/1C3CXT74ZlgGe6_JY_1olB1XN4rF0dxEuIIF-xsYjHgg/edit?usp=sharing"",""กปร!D69"")"),0)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IFERROR(__xludf.DUMMYFUNCTION("IMPORTRANGE(""https://docs.google.com/spreadsheets/d/1C3CXT74ZlgGe6_JY_1olB1XN4rF0dxEuIIF-xsYjHgg/edit?usp=sharing"",""พรบ!AL69"")"),0)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IFERROR(__xludf.DUMMYFUNCTION("IMPORTRANGE(""https://docs.google.com/spreadsheets/d/1C3CXT74ZlgGe6_JY_1olB1XN4rF0dxEuIIF-xsYjHgg/edit?usp=sharing"",""กปร!E69"")"),0)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6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20000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9000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9000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IFERROR(__xludf.DUMMYFUNCTION("IMPORTRANGE(""https://docs.google.com/spreadsheets/d/1C3CXT74ZlgGe6_JY_1olB1XN4rF0dxEuIIF-xsYjHgg/edit?usp=sharing"",""พรบ!AM69"")"),9000)</f>
        <v>9000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IFERROR(__xludf.DUMMYFUNCTION("IMPORTRANGE(""https://docs.google.com/spreadsheets/d/1C3CXT74ZlgGe6_JY_1olB1XN4rF0dxEuIIF-xsYjHgg/edit?usp=sharing"",""พรบ!AO69"")"),20000)</f>
        <v>20000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IFERROR(__xludf.DUMMYFUNCTION("IMPORTRANGE(""https://docs.google.com/spreadsheets/d/1C3CXT74ZlgGe6_JY_1olB1XN4rF0dxEuIIF-xsYjHgg/edit?usp=sharing"",""พรบ!AP69"")"),20000)</f>
        <v>20000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IFERROR(__xludf.DUMMYFUNCTION("IMPORTRANGE(""https://docs.google.com/spreadsheets/d/1C3CXT74ZlgGe6_JY_1olB1XN4rF0dxEuIIF-xsYjHgg/edit?usp=sharing"",""กปร!F69"")"),5000)</f>
        <v>5000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IFERROR(__xludf.DUMMYFUNCTION("IMPORTRANGE(""https://docs.google.com/spreadsheets/d/1C3CXT74ZlgGe6_JY_1olB1XN4rF0dxEuIIF-xsYjHgg/edit?usp=sharing"",""พรบ!AQ69"")"),0)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IFERROR(__xludf.DUMMYFUNCTION("IMPORTRANGE(""https://docs.google.com/spreadsheets/d/1C3CXT74ZlgGe6_JY_1olB1XN4rF0dxEuIIF-xsYjHgg/edit?usp=sharing"",""กปร!G69"")"),0)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234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20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67800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67800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47"/>
      <c r="K132" s="48"/>
      <c r="L132" s="52">
        <f ca="1">IFERROR(__xludf.DUMMYFUNCTION("IMPORTRANGE(""https://docs.google.com/spreadsheets/d/1C3CXT74ZlgGe6_JY_1olB1XN4rF0dxEuIIF-xsYjHgg/edit?usp=sharing"",""พรบ!AR69"")"),67800)</f>
        <v>67800</v>
      </c>
      <c r="M132" s="53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47"/>
      <c r="K133" s="48"/>
      <c r="L133" s="60"/>
      <c r="M133" s="60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7">
        <v>0</v>
      </c>
      <c r="K134" s="48"/>
      <c r="L134" s="60"/>
      <c r="M134" s="60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7">
        <v>0</v>
      </c>
      <c r="K135" s="48"/>
      <c r="L135" s="60" t="s">
        <v>21</v>
      </c>
      <c r="M135" s="60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7">
        <v>0</v>
      </c>
      <c r="K136" s="48"/>
      <c r="L136" s="60"/>
      <c r="M136" s="60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7">
        <v>0</v>
      </c>
      <c r="K137" s="48"/>
      <c r="L137" s="60"/>
      <c r="M137" s="60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IFERROR(__xludf.DUMMYFUNCTION("IMPORTRANGE(""https://docs.google.com/spreadsheets/d/1C3CXT74ZlgGe6_JY_1olB1XN4rF0dxEuIIF-xsYjHgg/edit?usp=sharing"",""พรบ!AS69"")"),20)</f>
        <v>20</v>
      </c>
      <c r="J138" s="67">
        <v>0</v>
      </c>
      <c r="K138" s="48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IFERROR(__xludf.DUMMYFUNCTION("IMPORTRANGE(""https://docs.google.com/spreadsheets/d/1C3CXT74ZlgGe6_JY_1olB1XN4rF0dxEuIIF-xsYjHgg/edit?usp=sharing"",""กปร!H69"")"),40800)</f>
        <v>40800</v>
      </c>
      <c r="M138" s="361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48"/>
      <c r="L139" s="60"/>
      <c r="M139" s="60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IFERROR(__xludf.DUMMYFUNCTION("IMPORTRANGE(""https://docs.google.com/spreadsheets/d/1C3CXT74ZlgGe6_JY_1olB1XN4rF0dxEuIIF-xsYjHgg/edit?usp=sharing"",""พรบ!AT69"")"),1)</f>
        <v>1</v>
      </c>
      <c r="J140" s="66">
        <v>0</v>
      </c>
      <c r="K140" s="48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IFERROR(__xludf.DUMMYFUNCTION("IMPORTRANGE(""https://docs.google.com/spreadsheets/d/1C3CXT74ZlgGe6_JY_1olB1XN4rF0dxEuIIF-xsYjHgg/edit?usp=sharing"",""กปร!I69"")"),0)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IFERROR(__xludf.DUMMYFUNCTION("IMPORTRANGE(""https://docs.google.com/spreadsheets/d/1C3CXT74ZlgGe6_JY_1olB1XN4rF0dxEuIIF-xsYjHgg/edit?usp=sharing"",""พรบ!AU69"")"),0)</f>
        <v>0</v>
      </c>
      <c r="J141" s="67">
        <v>0</v>
      </c>
      <c r="K141" s="48">
        <f t="shared" ca="1" si="34"/>
        <v>0</v>
      </c>
      <c r="L141" s="52">
        <f ca="1">IFERROR(__xludf.DUMMYFUNCTION("IMPORTRANGE(""https://docs.google.com/spreadsheets/d/1C3CXT74ZlgGe6_JY_1olB1XN4rF0dxEuIIF-xsYjHgg/edit?usp=sharing"",""กปร!J69"")"),10000)</f>
        <v>10000</v>
      </c>
      <c r="M141" s="361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7">
        <v>0</v>
      </c>
      <c r="K142" s="48"/>
      <c r="L142" s="60"/>
      <c r="M142" s="60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112">
        <v>0</v>
      </c>
      <c r="K143" s="113"/>
      <c r="L143" s="114"/>
      <c r="M143" s="114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15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21125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21125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IFERROR(__xludf.DUMMYFUNCTION("IMPORTRANGE(""https://docs.google.com/spreadsheets/d/1C3CXT74ZlgGe6_JY_1olB1XN4rF0dxEuIIF-xsYjHgg/edit?usp=sharing"",""พรบ!AY69"")"),21125)</f>
        <v>21125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15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IFERROR(__xludf.DUMMYFUNCTION("IMPORTRANGE(""https://docs.google.com/spreadsheets/d/1C3CXT74ZlgGe6_JY_1olB1XN4rF0dxEuIIF-xsYjHgg/edit?usp=sharing"",""พรบ!BA69"")"),15)</f>
        <v>15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20</v>
      </c>
      <c r="J169" s="177">
        <f>+J180</f>
        <v>0</v>
      </c>
      <c r="K169" s="178">
        <f ca="1">IF(I169&gt;0,J169*100/I169,0)</f>
        <v>0</v>
      </c>
      <c r="L169" s="179">
        <f ca="1">L170+L171</f>
        <v>71400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71400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47"/>
      <c r="K172" s="48"/>
      <c r="L172" s="52">
        <f ca="1">IFERROR(__xludf.DUMMYFUNCTION("IMPORTRANGE(""https://docs.google.com/spreadsheets/d/1C3CXT74ZlgGe6_JY_1olB1XN4rF0dxEuIIF-xsYjHgg/edit?usp=sharing"",""พรบ!BD69"")"),0)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47"/>
      <c r="K173" s="48"/>
      <c r="L173" s="52">
        <f ca="1">IFERROR(__xludf.DUMMYFUNCTION("IMPORTRANGE(""https://docs.google.com/spreadsheets/d/1C3CXT74ZlgGe6_JY_1olB1XN4rF0dxEuIIF-xsYjHgg/edit?usp=sharing"",""พรบ!BE69"")"),71400)</f>
        <v>71400</v>
      </c>
      <c r="M173" s="53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v>0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v>0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v>0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v>0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IFERROR(__xludf.DUMMYFUNCTION("IMPORTRANGE(""https://docs.google.com/spreadsheets/d/1C3CXT74ZlgGe6_JY_1olB1XN4rF0dxEuIIF-xsYjHgg/edit?usp=sharing"",""พรบ!BF69"")"),1)</f>
        <v>1</v>
      </c>
      <c r="J179" s="67">
        <v>0</v>
      </c>
      <c r="K179" s="48">
        <f t="shared" ref="K179:K182" ca="1" si="41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IFERROR(__xludf.DUMMYFUNCTION("IMPORTRANGE(""https://docs.google.com/spreadsheets/d/1C3CXT74ZlgGe6_JY_1olB1XN4rF0dxEuIIF-xsYjHgg/edit?usp=sharing"",""พรบ!BG69"")"),20)</f>
        <v>20</v>
      </c>
      <c r="J180" s="67">
        <v>0</v>
      </c>
      <c r="K180" s="48">
        <f t="shared" ca="1" si="41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IFERROR(__xludf.DUMMYFUNCTION("IMPORTRANGE(""https://docs.google.com/spreadsheets/d/1C3CXT74ZlgGe6_JY_1olB1XN4rF0dxEuIIF-xsYjHgg/edit?usp=sharing"",""พรบ!BH69"")"),20)</f>
        <v>20</v>
      </c>
      <c r="J181" s="67">
        <v>0</v>
      </c>
      <c r="K181" s="48">
        <f t="shared" ca="1" si="41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IFERROR(__xludf.DUMMYFUNCTION("IMPORTRANGE(""https://docs.google.com/spreadsheets/d/1C3CXT74ZlgGe6_JY_1olB1XN4rF0dxEuIIF-xsYjHgg/edit?usp=sharing"",""พรบ!BI69"")"),1)</f>
        <v>1</v>
      </c>
      <c r="J182" s="67">
        <v>0</v>
      </c>
      <c r="K182" s="48">
        <f t="shared" ca="1" si="41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v>0</v>
      </c>
      <c r="K183" s="48"/>
      <c r="L183" s="60"/>
      <c r="M183" s="60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112">
        <v>0</v>
      </c>
      <c r="K184" s="113"/>
      <c r="L184" s="114"/>
      <c r="M184" s="114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0</v>
      </c>
      <c r="J185" s="177">
        <f>+J195</f>
        <v>0</v>
      </c>
      <c r="K185" s="178">
        <f ca="1">IF(I185&gt;0,J185*100/I185,0)</f>
        <v>0</v>
      </c>
      <c r="L185" s="179">
        <f ca="1">L186+L187</f>
        <v>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66"/>
      <c r="K188" s="232"/>
      <c r="L188" s="52">
        <f ca="1">IFERROR(__xludf.DUMMYFUNCTION("IMPORTRANGE(""https://docs.google.com/spreadsheets/d/1C3CXT74ZlgGe6_JY_1olB1XN4rF0dxEuIIF-xsYjHgg/edit?usp=sharing"",""พรบ!BK69"")"),0)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66"/>
      <c r="K189" s="232"/>
      <c r="L189" s="52">
        <f ca="1">IFERROR(__xludf.DUMMYFUNCTION("IMPORTRANGE(""https://docs.google.com/spreadsheets/d/1C3CXT74ZlgGe6_JY_1olB1XN4rF0dxEuIIF-xsYjHgg/edit?usp=sharing"",""พรบ!BL69"")"),0)</f>
        <v>0</v>
      </c>
      <c r="M189" s="52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66"/>
      <c r="K190" s="232"/>
      <c r="L190" s="52"/>
      <c r="M190" s="52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6">
        <v>0</v>
      </c>
      <c r="K191" s="232"/>
      <c r="L191" s="52"/>
      <c r="M191" s="52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6">
        <v>0</v>
      </c>
      <c r="K192" s="232"/>
      <c r="L192" s="52"/>
      <c r="M192" s="52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6">
        <v>0</v>
      </c>
      <c r="K193" s="232"/>
      <c r="L193" s="52"/>
      <c r="M193" s="52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6">
        <v>0</v>
      </c>
      <c r="K194" s="232"/>
      <c r="L194" s="52"/>
      <c r="M194" s="52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IFERROR(__xludf.DUMMYFUNCTION("IMPORTRANGE(""https://docs.google.com/spreadsheets/d/1C3CXT74ZlgGe6_JY_1olB1XN4rF0dxEuIIF-xsYjHgg/edit?usp=sharing"",""พรบ!BM69"")"),0)</f>
        <v>0</v>
      </c>
      <c r="J195" s="66">
        <v>0</v>
      </c>
      <c r="K195" s="232">
        <f ca="1">IF(I195&gt;0,J195*100/I195,0)</f>
        <v>0</v>
      </c>
      <c r="L195" s="52"/>
      <c r="M195" s="52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6">
        <v>0</v>
      </c>
      <c r="K196" s="232"/>
      <c r="L196" s="52"/>
      <c r="M196" s="52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356">
        <v>0</v>
      </c>
      <c r="K197" s="232"/>
      <c r="L197" s="52"/>
      <c r="M197" s="52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66" t="s">
        <v>21</v>
      </c>
      <c r="J200" s="66"/>
      <c r="K200" s="232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66"/>
      <c r="J201" s="66"/>
      <c r="K201" s="232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66"/>
      <c r="J202" s="66"/>
      <c r="K202" s="232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66"/>
      <c r="J203" s="66"/>
      <c r="K203" s="232"/>
      <c r="L203" s="52">
        <f ca="1">IFERROR(__xludf.DUMMYFUNCTION("IMPORTRANGE(""https://docs.google.com/spreadsheets/d/1C3CXT74ZlgGe6_JY_1olB1XN4rF0dxEuIIF-xsYjHgg/edit?usp=sharing"",""พรบ!BP69"")"),0)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66"/>
      <c r="J204" s="66"/>
      <c r="K204" s="232"/>
      <c r="L204" s="52"/>
      <c r="M204" s="52"/>
      <c r="N204" s="52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52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52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52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52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IFERROR(__xludf.DUMMYFUNCTION("IMPORTRANGE(""https://docs.google.com/spreadsheets/d/1C3CXT74ZlgGe6_JY_1olB1XN4rF0dxEuIIF-xsYjHgg/edit?usp=sharing"",""พรบ!BQ69"")"),0)</f>
        <v>0</v>
      </c>
      <c r="J209" s="66">
        <v>0</v>
      </c>
      <c r="K209" s="232">
        <f ca="1">IF(I209&gt;0,J209*100/I209,0)</f>
        <v>0</v>
      </c>
      <c r="L209" s="52"/>
      <c r="M209" s="52"/>
      <c r="N209" s="52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52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IFERROR(__xludf.DUMMYFUNCTION("IMPORTRANGE(""https://docs.google.com/spreadsheets/d/1C3CXT74ZlgGe6_JY_1olB1XN4rF0dxEuIIF-xsYjHgg/edit?usp=sharing"",""พรบ!BR69"")"),0)</f>
        <v>0</v>
      </c>
      <c r="J211" s="66">
        <v>0</v>
      </c>
      <c r="K211" s="232">
        <f ca="1">IF(I211&gt;0,J211*100/I211,0)</f>
        <v>0</v>
      </c>
      <c r="L211" s="52"/>
      <c r="M211" s="52"/>
      <c r="N211" s="52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52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52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IFERROR(__xludf.DUMMYFUNCTION("IMPORTRANGE(""https://docs.google.com/spreadsheets/d/1C3CXT74ZlgGe6_JY_1olB1XN4rF0dxEuIIF-xsYjHgg/edit?usp=sharing"",""พรบ!BU69"")"),0)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IFERROR(__xludf.DUMMYFUNCTION("IMPORTRANGE(""https://docs.google.com/spreadsheets/d/1C3CXT74ZlgGe6_JY_1olB1XN4rF0dxEuIIF-xsYjHgg/edit?usp=sharing"",""พรบ!BV69"")"),0)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95</v>
      </c>
      <c r="J228" s="197">
        <f ca="1">J240</f>
        <v>0</v>
      </c>
      <c r="K228" s="178">
        <f ca="1">IF(I228&gt;0,J228*100/I228,0)</f>
        <v>0</v>
      </c>
      <c r="L228" s="179">
        <f ca="1">L229+L230</f>
        <v>880650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880650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IFERROR(__xludf.DUMMYFUNCTION("IMPORTRANGE(""https://docs.google.com/spreadsheets/d/1C3CXT74ZlgGe6_JY_1olB1XN4rF0dxEuIIF-xsYjHgg/edit?usp=sharing"",""พรบ!BX69"")"),583200)</f>
        <v>583200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IFERROR(__xludf.DUMMYFUNCTION("IMPORTRANGE(""https://docs.google.com/spreadsheets/d/1C3CXT74ZlgGe6_JY_1olB1XN4rF0dxEuIIF-xsYjHgg/edit?usp=sharing"",""พรบ!BY69"")"),297450)</f>
        <v>297450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IFERROR(__xludf.DUMMYFUNCTION("IMPORTRANGE(""https://docs.google.com/spreadsheets/d/1AGHcLOeeYFL3K4b9R1dSzyJy00PE_ra89DNTVfnxSWM/edit?usp=sharing"",""รวมที่ทำกิน!J58"")"),17)</f>
        <v>17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IFERROR(__xludf.DUMMYFUNCTION("IMPORTRANGE(""https://docs.google.com/spreadsheets/d/1C3CXT74ZlgGe6_JY_1olB1XN4rF0dxEuIIF-xsYjHgg/edit?usp=sharing"",""พรบ!BZ69"")"),1400)</f>
        <v>1400</v>
      </c>
      <c r="J235" s="66">
        <f ca="1">IFERROR(__xludf.DUMMYFUNCTION("IMPORTRANGE(""https://docs.google.com/spreadsheets/d/1AGHcLOeeYFL3K4b9R1dSzyJy00PE_ra89DNTVfnxSWM/edit?usp=sharing"",""รวมที่ทำกิน!L58"")"),182.36)</f>
        <v>182.36</v>
      </c>
      <c r="K235" s="200">
        <f t="shared" ca="1" si="52"/>
        <v>13.025714285714285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IFERROR(__xludf.DUMMYFUNCTION("IMPORTRANGE(""https://docs.google.com/spreadsheets/d/1C3CXT74ZlgGe6_JY_1olB1XN4rF0dxEuIIF-xsYjHgg/edit?usp=sharing"",""พรบ!CA69"")"),95)</f>
        <v>95</v>
      </c>
      <c r="J236" s="66">
        <f ca="1">IFERROR(__xludf.DUMMYFUNCTION("IMPORTRANGE(""https://docs.google.com/spreadsheets/d/1AGHcLOeeYFL3K4b9R1dSzyJy00PE_ra89DNTVfnxSWM/edit?usp=sharing"",""รวมที่ทำกิน!O58"")"),15)</f>
        <v>15</v>
      </c>
      <c r="K236" s="200">
        <f t="shared" ca="1" si="52"/>
        <v>15.789473684210526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IFERROR(__xludf.DUMMYFUNCTION("IMPORTRANGE(""https://docs.google.com/spreadsheets/d/1AGHcLOeeYFL3K4b9R1dSzyJy00PE_ra89DNTVfnxSWM/edit?usp=sharing"",""รวมที่ทำกิน!Q58"")"),181.4)</f>
        <v>181.4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IFERROR(__xludf.DUMMYFUNCTION("IMPORTRANGE(""https://docs.google.com/spreadsheets/d/1C3CXT74ZlgGe6_JY_1olB1XN4rF0dxEuIIF-xsYjHgg/edit?usp=sharing"",""พรบ!CB69"")"),95)</f>
        <v>95</v>
      </c>
      <c r="J238" s="66">
        <f ca="1">IFERROR(__xludf.DUMMYFUNCTION("IMPORTRANGE(""https://docs.google.com/spreadsheets/d/1AGHcLOeeYFL3K4b9R1dSzyJy00PE_ra89DNTVfnxSWM/edit?usp=sharing"",""รวมที่ทำกิน!S58"")"),0)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IFERROR(__xludf.DUMMYFUNCTION("IMPORTRANGE(""https://docs.google.com/spreadsheets/d/1AGHcLOeeYFL3K4b9R1dSzyJy00PE_ra89DNTVfnxSWM/edit?usp=sharing"",""รวมที่ทำกิน!U58"")"),0)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IFERROR(__xludf.DUMMYFUNCTION("IMPORTRANGE(""https://docs.google.com/spreadsheets/d/1C3CXT74ZlgGe6_JY_1olB1XN4rF0dxEuIIF-xsYjHgg/edit?usp=sharing"",""พรบ!CC69"")"),95)</f>
        <v>95</v>
      </c>
      <c r="J240" s="66">
        <f ca="1">IFERROR(__xludf.DUMMYFUNCTION("IMPORTRANGE(""https://docs.google.com/spreadsheets/d/1AGHcLOeeYFL3K4b9R1dSzyJy00PE_ra89DNTVfnxSWM/edit?usp=sharing"",""รวมที่ทำกิน!W58"")"),0)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IFERROR(__xludf.DUMMYFUNCTION("IMPORTRANGE(""https://docs.google.com/spreadsheets/d/1AGHcLOeeYFL3K4b9R1dSzyJy00PE_ra89DNTVfnxSWM/edit?usp=sharing"",""รวมที่ทำกิน!Y58"")"),0)</f>
        <v>0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819826</v>
      </c>
      <c r="M242" s="213">
        <f t="shared" si="53"/>
        <v>0</v>
      </c>
      <c r="N242" s="213">
        <f ca="1">+IF(L242&gt;0,M242*100/L242,0)</f>
        <v>0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60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93120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20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93120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IFERROR(__xludf.DUMMYFUNCTION("IMPORTRANGE(""https://docs.google.com/spreadsheets/d/1C3CXT74ZlgGe6_JY_1olB1XN4rF0dxEuIIF-xsYjHgg/edit?usp=sharing"",""งบกองทุน!d69"")"),0)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IFERROR(__xludf.DUMMYFUNCTION("IMPORTRANGE(""https://docs.google.com/spreadsheets/d/1C3CXT74ZlgGe6_JY_1olB1XN4rF0dxEuIIF-xsYjHgg/edit?usp=sharing"",""งบกองทุน!e69"")"),93120)</f>
        <v>93120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0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0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IFERROR(__xludf.DUMMYFUNCTION("IMPORTRANGE(""https://docs.google.com/spreadsheets/d/1C3CXT74ZlgGe6_JY_1olB1XN4rF0dxEuIIF-xsYjHgg/edit?usp=sharing"",""งบกองทุน!f69"")"),0)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60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IFERROR(__xludf.DUMMYFUNCTION("IMPORTRANGE(""https://docs.google.com/spreadsheets/d/1C3CXT74ZlgGe6_JY_1olB1XN4rF0dxEuIIF-xsYjHgg/edit?usp=sharing"",""งบกองทุน!H69"")"),20)</f>
        <v>20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IFERROR(__xludf.DUMMYFUNCTION("IMPORTRANGE(""https://docs.google.com/spreadsheets/d/1C3CXT74ZlgGe6_JY_1olB1XN4rF0dxEuIIF-xsYjHgg/edit?usp=sharing"",""งบกองทุน!i69"")"),60)</f>
        <v>60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20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IFERROR(__xludf.DUMMYFUNCTION("IMPORTRANGE(""https://docs.google.com/spreadsheets/d/1C3CXT74ZlgGe6_JY_1olB1XN4rF0dxEuIIF-xsYjHgg/edit?usp=sharing"",""งบกองทุน!k69"")"),0)</f>
        <v>0</v>
      </c>
      <c r="J266" s="66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20</v>
      </c>
      <c r="J267" s="66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IFERROR(__xludf.DUMMYFUNCTION("IMPORTRANGE(""https://docs.google.com/spreadsheets/d/1C3CXT74ZlgGe6_JY_1olB1XN4rF0dxEuIIF-xsYjHgg/edit?usp=sharing"",""งบกองทุน!m69"")"),0)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60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IFERROR(__xludf.DUMMYFUNCTION("IMPORTRANGE(""https://docs.google.com/spreadsheets/d/1C3CXT74ZlgGe6_JY_1olB1XN4rF0dxEuIIF-xsYjHgg/edit?usp=sharing"",""งบกองทุน!o69"")"),0)</f>
        <v>0</v>
      </c>
      <c r="J271" s="66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IFERROR(__xludf.DUMMYFUNCTION("IMPORTRANGE(""https://docs.google.com/spreadsheets/d/1C3CXT74ZlgGe6_JY_1olB1XN4rF0dxEuIIF-xsYjHgg/edit?usp=sharing"",""งบกองทุน!p69"")"),60)</f>
        <v>60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200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207560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20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207560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IFERROR(__xludf.DUMMYFUNCTION("IMPORTRANGE(""https://docs.google.com/spreadsheets/d/1C3CXT74ZlgGe6_JY_1olB1XN4rF0dxEuIIF-xsYjHgg/edit?usp=sharing"",""งบกองทุน!r69"")"),0)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IFERROR(__xludf.DUMMYFUNCTION("IMPORTRANGE(""https://docs.google.com/spreadsheets/d/1C3CXT74ZlgGe6_JY_1olB1XN4rF0dxEuIIF-xsYjHgg/edit?usp=sharing"",""งบกองทุน!s69"")"),207560)</f>
        <v>207560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0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IFERROR(__xludf.DUMMYFUNCTION("IMPORTRANGE(""https://docs.google.com/spreadsheets/d/1C3CXT74ZlgGe6_JY_1olB1XN4rF0dxEuIIF-xsYjHgg/edit?usp=sharing"",""งบกองทุน!v69"")"),20)</f>
        <v>20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IFERROR(__xludf.DUMMYFUNCTION("IMPORTRANGE(""https://docs.google.com/spreadsheets/d/1C3CXT74ZlgGe6_JY_1olB1XN4rF0dxEuIIF-xsYjHgg/edit?usp=sharing"",""งบกองทุน!w69"")"),200)</f>
        <v>200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IFERROR(__xludf.DUMMYFUNCTION("IMPORTRANGE(""https://docs.google.com/spreadsheets/d/1C3CXT74ZlgGe6_JY_1olB1XN4rF0dxEuIIF-xsYjHgg/edit?usp=sharing"",""งบกองทุน!x69"")"),20)</f>
        <v>20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90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116320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30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116320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IFERROR(__xludf.DUMMYFUNCTION("IMPORTRANGE(""https://docs.google.com/spreadsheets/d/1C3CXT74ZlgGe6_JY_1olB1XN4rF0dxEuIIF-xsYjHgg/edit?usp=sharing"",""งบกองทุน!z69"")"),0)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IFERROR(__xludf.DUMMYFUNCTION("IMPORTRANGE(""https://docs.google.com/spreadsheets/d/1C3CXT74ZlgGe6_JY_1olB1XN4rF0dxEuIIF-xsYjHgg/edit?usp=sharing"",""งบกองทุน!aa69"")"),116320)</f>
        <v>116320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30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IFERROR(__xludf.DUMMYFUNCTION("IMPORTRANGE(""https://docs.google.com/spreadsheets/d/1C3CXT74ZlgGe6_JY_1olB1XN4rF0dxEuIIF-xsYjHgg/edit?usp=sharing"",""งบกองทุน!ae69"")"),10)</f>
        <v>10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IFERROR(__xludf.DUMMYFUNCTION("IMPORTRANGE(""https://docs.google.com/spreadsheets/d/1C3CXT74ZlgGe6_JY_1olB1XN4rF0dxEuIIF-xsYjHgg/edit?usp=sharing"",""งบกองทุน!ad69"")"),30)</f>
        <v>30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IFERROR(__xludf.DUMMYFUNCTION("IMPORTRANGE(""https://docs.google.com/spreadsheets/d/1C3CXT74ZlgGe6_JY_1olB1XN4rF0dxEuIIF-xsYjHgg/edit?usp=sharing"",""งบกองทุน!af69"")"),10)</f>
        <v>10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IFERROR(__xludf.DUMMYFUNCTION("IMPORTRANGE(""https://docs.google.com/spreadsheets/d/1C3CXT74ZlgGe6_JY_1olB1XN4rF0dxEuIIF-xsYjHgg/edit?usp=sharing"",""งบกองทุน!ag69"")"),10)</f>
        <v>10</v>
      </c>
      <c r="J315" s="247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IFERROR(__xludf.DUMMYFUNCTION("IMPORTRANGE(""https://docs.google.com/spreadsheets/d/1C3CXT74ZlgGe6_JY_1olB1XN4rF0dxEuIIF-xsYjHgg/edit?usp=sharing"",""งบกองทุน!ai69"")"),10)</f>
        <v>10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IFERROR(__xludf.DUMMYFUNCTION("IMPORTRANGE(""https://docs.google.com/spreadsheets/d/1C3CXT74ZlgGe6_JY_1olB1XN4rF0dxEuIIF-xsYjHgg/edit?usp=sharing"",""งบกองทุน!ah69"")"),30)</f>
        <v>30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IFERROR(__xludf.DUMMYFUNCTION("IMPORTRANGE(""https://docs.google.com/spreadsheets/d/1C3CXT74ZlgGe6_JY_1olB1XN4rF0dxEuIIF-xsYjHgg/edit?usp=sharing"",""งบกองทุน!aj69"")"),10)</f>
        <v>10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IFERROR(__xludf.DUMMYFUNCTION("IMPORTRANGE(""https://docs.google.com/spreadsheets/d/1C3CXT74ZlgGe6_JY_1olB1XN4rF0dxEuIIF-xsYjHgg/edit?usp=sharing"",""งบกองทุน!ak69"")"),10)</f>
        <v>10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IFERROR(__xludf.DUMMYFUNCTION("IMPORTRANGE(""https://docs.google.com/spreadsheets/d/1C3CXT74ZlgGe6_JY_1olB1XN4rF0dxEuIIF-xsYjHgg/edit?usp=sharing"",""งบกองทุน!al69"")"),10)</f>
        <v>10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IFERROR(__xludf.DUMMYFUNCTION("IMPORTRANGE(""https://docs.google.com/spreadsheets/d/1C3CXT74ZlgGe6_JY_1olB1XN4rF0dxEuIIF-xsYjHgg/edit?usp=sharing"",""งบกองทุน!an69"")"),10)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IFERROR(__xludf.DUMMYFUNCTION("IMPORTRANGE(""https://docs.google.com/spreadsheets/d/1C3CXT74ZlgGe6_JY_1olB1XN4rF0dxEuIIF-xsYjHgg/edit?usp=sharing"",""งบกองทุน!am69"")"),30)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IFERROR(__xludf.DUMMYFUNCTION("IMPORTRANGE(""https://docs.google.com/spreadsheets/d/1C3CXT74ZlgGe6_JY_1olB1XN4rF0dxEuIIF-xsYjHgg/edit?usp=sharing"",""งบกองทุน!ao69"")"),10)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IFERROR(__xludf.DUMMYFUNCTION("IMPORTRANGE(""https://docs.google.com/spreadsheets/d/1C3CXT74ZlgGe6_JY_1olB1XN4rF0dxEuIIF-xsYjHgg/edit?usp=sharing"",""งบกองทุน!ap69"")"),10)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20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IFERROR(__xludf.DUMMYFUNCTION("IMPORTRANGE(""https://docs.google.com/spreadsheets/d/1C3CXT74ZlgGe6_JY_1olB1XN4rF0dxEuIIF-xsYjHgg/edit?usp=sharing"",""งบกองทุน!ar69"")"),10)</f>
        <v>10</v>
      </c>
      <c r="J326" s="67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IFERROR(__xludf.DUMMYFUNCTION("IMPORTRANGE(""https://docs.google.com/spreadsheets/d/1C3CXT74ZlgGe6_JY_1olB1XN4rF0dxEuIIF-xsYjHgg/edit?usp=sharing"",""งบกองทุน!as69"")"),10)</f>
        <v>10</v>
      </c>
      <c r="J327" s="67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10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71000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71000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IFERROR(__xludf.DUMMYFUNCTION("IMPORTRANGE(""https://docs.google.com/spreadsheets/d/1C3CXT74ZlgGe6_JY_1olB1XN4rF0dxEuIIF-xsYjHgg/edit?usp=sharing"",""งบกองทุน!au69"")"),0)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IFERROR(__xludf.DUMMYFUNCTION("IMPORTRANGE(""https://docs.google.com/spreadsheets/d/1C3CXT74ZlgGe6_JY_1olB1XN4rF0dxEuIIF-xsYjHgg/edit?usp=sharing"",""งบกองทุน!av69"")"),71000)</f>
        <v>71000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10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IFERROR(__xludf.DUMMYFUNCTION("IMPORTRANGE(""https://docs.google.com/spreadsheets/d/1C3CXT74ZlgGe6_JY_1olB1XN4rF0dxEuIIF-xsYjHgg/edit?usp=sharing"",""งบกองทุน!ay69"")"),10)</f>
        <v>10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IFERROR(__xludf.DUMMYFUNCTION("IMPORTRANGE(""https://docs.google.com/spreadsheets/d/1C3CXT74ZlgGe6_JY_1olB1XN4rF0dxEuIIF-xsYjHgg/edit?usp=sharing"",""งบกองทุน!az69"")"),0)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IFERROR(__xludf.DUMMYFUNCTION("IMPORTRANGE(""https://docs.google.com/spreadsheets/d/1C3CXT74ZlgGe6_JY_1olB1XN4rF0dxEuIIF-xsYjHgg/edit?usp=sharing"",""งบกองทุน!Ba69"")"),0)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2262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57554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57554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IFERROR(__xludf.DUMMYFUNCTION("IMPORTRANGE(""https://docs.google.com/spreadsheets/d/1C3CXT74ZlgGe6_JY_1olB1XN4rF0dxEuIIF-xsYjHgg/edit?usp=sharing"",""งบกองทุน!Bc69"")"),0)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IFERROR(__xludf.DUMMYFUNCTION("IMPORTRANGE(""https://docs.google.com/spreadsheets/d/1C3CXT74ZlgGe6_JY_1olB1XN4rF0dxEuIIF-xsYjHgg/edit?usp=sharing"",""งบกองทุน!Bd69"")"),57554)</f>
        <v>57554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IFERROR(__xludf.DUMMYFUNCTION("IMPORTRANGE(""https://docs.google.com/spreadsheets/d/1C3CXT74ZlgGe6_JY_1olB1XN4rF0dxEuIIF-xsYjHgg/edit?usp=sharing"",""งบกองทุน!BE69"")"),2262)</f>
        <v>2262</v>
      </c>
      <c r="J359" s="136">
        <f>+J376</f>
        <v>0</v>
      </c>
      <c r="K359" s="137">
        <f t="shared" ref="K359:K408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IFERROR(__xludf.DUMMYFUNCTION("IMPORTRANGE(""https://docs.google.com/spreadsheets/d/1C3CXT74ZlgGe6_JY_1olB1XN4rF0dxEuIIF-xsYjHgg/edit?usp=sharing"",""งบกองทุน!BE69"")"),2262)</f>
        <v>2262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IFERROR(__xludf.DUMMYFUNCTION("IMPORTRANGE(""https://docs.google.com/spreadsheets/d/1C3CXT74ZlgGe6_JY_1olB1XN4rF0dxEuIIF-xsYjHgg/edit?usp=sharing"",""งบกองทุน!Bf69"")"),142)</f>
        <v>142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2262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265">
        <f ca="1">I361</f>
        <v>142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2262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265">
        <f ca="1">I361</f>
        <v>142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IFERROR(__xludf.DUMMYFUNCTION("IMPORTRANGE(""https://docs.google.com/spreadsheets/d/1C3CXT74ZlgGe6_JY_1olB1XN4rF0dxEuIIF-xsYjHgg/edit?usp=sharing"",""งบกองทุน!cd69"")"),495)</f>
        <v>495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IFERROR(__xludf.DUMMYFUNCTION("IMPORTRANGE(""https://docs.google.com/spreadsheets/d/1C3CXT74ZlgGe6_JY_1olB1XN4rF0dxEuIIF-xsYjHgg/edit?usp=sharing"",""งบกองทุน!cd69"")"),495)</f>
        <v>495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IFERROR(__xludf.DUMMYFUNCTION("IMPORTRANGE(""https://docs.google.com/spreadsheets/d/1C3CXT74ZlgGe6_JY_1olB1XN4rF0dxEuIIF-xsYjHgg/edit?usp=sharing"",""งบกองทุน!cc69"")"),17)</f>
        <v>17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IFERROR(__xludf.DUMMYFUNCTION("IMPORTRANGE(""https://docs.google.com/spreadsheets/d/1C3CXT74ZlgGe6_JY_1olB1XN4rF0dxEuIIF-xsYjHgg/edit?usp=sharing"",""งบกองทุน!cz69"")"),0)</f>
        <v>0</v>
      </c>
      <c r="J409" s="136">
        <v>0</v>
      </c>
      <c r="K409" s="137"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IFERROR(__xludf.DUMMYFUNCTION("IMPORTRANGE(""https://docs.google.com/spreadsheets/d/1C3CXT74ZlgGe6_JY_1olB1XN4rF0dxEuIIF-xsYjHgg/edit?usp=sharing"",""งบกองทุน!cz69"")"),0)</f>
        <v>0</v>
      </c>
      <c r="J410" s="149">
        <v>0</v>
      </c>
      <c r="K410" s="146"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IFERROR(__xludf.DUMMYFUNCTION("IMPORTRANGE(""https://docs.google.com/spreadsheets/d/1C3CXT74ZlgGe6_JY_1olB1XN4rF0dxEuIIF-xsYjHgg/edit?usp=sharing"",""งบกองทุน!cy69"")"),0)</f>
        <v>0</v>
      </c>
      <c r="J411" s="149">
        <v>0</v>
      </c>
      <c r="K411" s="146"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IFERROR(__xludf.DUMMYFUNCTION("IMPORTRANGE(""https://docs.google.com/spreadsheets/d/1C3CXT74ZlgGe6_JY_1olB1XN4rF0dxEuIIF-xsYjHgg/edit?usp=sharing"",""งบกองทุน!db69"")"),0)</f>
        <v>0</v>
      </c>
      <c r="K412" s="48"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IFERROR(__xludf.DUMMYFUNCTION("IMPORTRANGE(""https://docs.google.com/spreadsheets/d/1C3CXT74ZlgGe6_JY_1olB1XN4rF0dxEuIIF-xsYjHgg/edit?usp=sharing"",""งบกองทุน!da69"")"),0)</f>
        <v>0</v>
      </c>
      <c r="K413" s="48"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IFERROR(__xludf.DUMMYFUNCTION("IMPORTRANGE(""https://docs.google.com/spreadsheets/d/1C3CXT74ZlgGe6_JY_1olB1XN4rF0dxEuIIF-xsYjHgg/edit?usp=sharing"",""งบกองทุน!dd69"")"),0)</f>
        <v>0</v>
      </c>
      <c r="K414" s="48"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IFERROR(__xludf.DUMMYFUNCTION("IMPORTRANGE(""https://docs.google.com/spreadsheets/d/1C3CXT74ZlgGe6_JY_1olB1XN4rF0dxEuIIF-xsYjHgg/edit?usp=sharing"",""งบกองทุน!dc69"")"),0)</f>
        <v>0</v>
      </c>
      <c r="K415" s="48"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IFERROR(__xludf.DUMMYFUNCTION("IMPORTRANGE(""https://docs.google.com/spreadsheets/d/1C3CXT74ZlgGe6_JY_1olB1XN4rF0dxEuIIF-xsYjHgg/edit?usp=sharing"",""งบกองทุน!df69"")"),0)</f>
        <v>0</v>
      </c>
      <c r="K416" s="48"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IFERROR(__xludf.DUMMYFUNCTION("IMPORTRANGE(""https://docs.google.com/spreadsheets/d/1C3CXT74ZlgGe6_JY_1olB1XN4rF0dxEuIIF-xsYjHgg/edit?usp=sharing"",""งบกองทุน!de69"")"),0)</f>
        <v>0</v>
      </c>
      <c r="K417" s="48"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4">
        <v>0</v>
      </c>
      <c r="J425" s="300">
        <v>0</v>
      </c>
      <c r="K425" s="301"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22</v>
      </c>
      <c r="J426" s="257">
        <f t="shared" si="91"/>
        <v>0</v>
      </c>
      <c r="K426" s="258">
        <f ca="1">IF(I426&gt;0,J426*100/I426,0)</f>
        <v>0</v>
      </c>
      <c r="L426" s="259">
        <f t="shared" ref="L426:M426" ca="1" si="92">SUM(L427:L428)</f>
        <v>34340</v>
      </c>
      <c r="M426" s="259">
        <f t="shared" si="92"/>
        <v>0</v>
      </c>
      <c r="N426" s="259">
        <f t="shared" ref="N426:N430" ca="1" si="93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34340</v>
      </c>
      <c r="M428" s="52">
        <f t="shared" si="94"/>
        <v>0</v>
      </c>
      <c r="N428" s="52">
        <f t="shared" ca="1" si="93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IFERROR(__xludf.DUMMYFUNCTION("IMPORTRANGE(""https://docs.google.com/spreadsheets/d/1C3CXT74ZlgGe6_JY_1olB1XN4rF0dxEuIIF-xsYjHgg/edit?usp=sharing"",""งบกองทุน!dn69"")"),0)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IFERROR(__xludf.DUMMYFUNCTION("IMPORTRANGE(""https://docs.google.com/spreadsheets/d/1C3CXT74ZlgGe6_JY_1olB1XN4rF0dxEuIIF-xsYjHgg/edit?usp=sharing"",""งบกองทุน!do69"")"),34340)</f>
        <v>34340</v>
      </c>
      <c r="M430" s="52">
        <f>SUM(M431:M434)</f>
        <v>0</v>
      </c>
      <c r="N430" s="52">
        <f t="shared" ca="1" si="93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0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IFERROR(__xludf.DUMMYFUNCTION("IMPORTRANGE(""https://docs.google.com/spreadsheets/d/1C3CXT74ZlgGe6_JY_1olB1XN4rF0dxEuIIF-xsYjHgg/edit?usp=sharing"",""งบกองทุน!dq69"")"),22)</f>
        <v>22</v>
      </c>
      <c r="J440" s="67">
        <v>0</v>
      </c>
      <c r="K440" s="48">
        <f t="shared" ref="K440:K441" ca="1" si="95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IFERROR(__xludf.DUMMYFUNCTION("IMPORTRANGE(""https://docs.google.com/spreadsheets/d/1C3CXT74ZlgGe6_JY_1olB1XN4rF0dxEuIIF-xsYjHgg/edit?usp=sharing"",""งบกองทุน!dr69"")"),22)</f>
        <v>22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IFERROR(__xludf.DUMMYFUNCTION("IMPORTRANGE(""https://docs.google.com/spreadsheets/d/1C3CXT74ZlgGe6_JY_1olB1XN4rF0dxEuIIF-xsYjHgg/edit?usp=sharing"",""งบกองทุน!dt69"")"),0)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IFERROR(__xludf.DUMMYFUNCTION("IMPORTRANGE(""https://docs.google.com/spreadsheets/d/1C3CXT74ZlgGe6_JY_1olB1XN4rF0dxEuIIF-xsYjHgg/edit?usp=sharing"",""งบกองทุน!du69"")"),0)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IFERROR(__xludf.DUMMYFUNCTION("IMPORTRANGE(""https://docs.google.com/spreadsheets/d/1C3CXT74ZlgGe6_JY_1olB1XN4rF0dxEuIIF-xsYjHgg/edit?usp=sharing"",""งบกองทุน!dw69"")"),0)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IFERROR(__xludf.DUMMYFUNCTION("IMPORTRANGE(""https://docs.google.com/spreadsheets/d/1C3CXT74ZlgGe6_JY_1olB1XN4rF0dxEuIIF-xsYjHgg/edit?usp=sharing"",""งบกองทุน!dx69"")"),0)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IFERROR(__xludf.DUMMYFUNCTION("IMPORTRANGE(""https://docs.google.com/spreadsheets/d/1C3CXT74ZlgGe6_JY_1olB1XN4rF0dxEuIIF-xsYjHgg/edit?usp=sharing"",""งบกองทุน!dy69"")"),0)</f>
        <v>0</v>
      </c>
      <c r="J455" s="66">
        <v>0</v>
      </c>
      <c r="K455" s="232">
        <f t="shared" ca="1" si="100"/>
        <v>0</v>
      </c>
      <c r="L455" s="52"/>
      <c r="M455" s="52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IFERROR(__xludf.DUMMYFUNCTION("IMPORTRANGE(""https://docs.google.com/spreadsheets/d/1C3CXT74ZlgGe6_JY_1olB1XN4rF0dxEuIIF-xsYjHgg/edit?usp=sharing"",""งบกองทุน!dz69"")"),0)</f>
        <v>0</v>
      </c>
      <c r="J456" s="66">
        <v>0</v>
      </c>
      <c r="K456" s="48">
        <f t="shared" ca="1" si="100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500</v>
      </c>
      <c r="J457" s="226">
        <f>+J466</f>
        <v>0</v>
      </c>
      <c r="K457" s="227">
        <f t="shared" ca="1" si="100"/>
        <v>0</v>
      </c>
      <c r="L457" s="228">
        <f t="shared" ref="L457:M457" ca="1" si="101">SUM(L458:L459)</f>
        <v>128480</v>
      </c>
      <c r="M457" s="228">
        <f t="shared" si="101"/>
        <v>0</v>
      </c>
      <c r="N457" s="228">
        <f t="shared" ref="N457:N461" ca="1" si="102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128480</v>
      </c>
      <c r="M459" s="52">
        <f t="shared" si="103"/>
        <v>0</v>
      </c>
      <c r="N459" s="52">
        <f t="shared" ca="1" si="102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IFERROR(__xludf.DUMMYFUNCTION("IMPORTRANGE(""https://docs.google.com/spreadsheets/d/1C3CXT74ZlgGe6_JY_1olB1XN4rF0dxEuIIF-xsYjHgg/edit?usp=sharing"",""งบกองทุน!Eb69"")"),0)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IFERROR(__xludf.DUMMYFUNCTION("IMPORTRANGE(""https://docs.google.com/spreadsheets/d/1C3CXT74ZlgGe6_JY_1olB1XN4rF0dxEuIIF-xsYjHgg/edit?usp=sharing"",""งบกองทุน!Ec69"")"),128480)</f>
        <v>128480</v>
      </c>
      <c r="M461" s="52">
        <f>SUM(M462:M465)</f>
        <v>0</v>
      </c>
      <c r="N461" s="52">
        <f t="shared" ca="1" si="102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IFERROR(__xludf.DUMMYFUNCTION("IMPORTRANGE(""https://docs.google.com/spreadsheets/d/1C3CXT74ZlgGe6_JY_1olB1XN4rF0dxEuIIF-xsYjHgg/edit?usp=sharing"",""งบกองทุน!Ed69"")"),500)</f>
        <v>500</v>
      </c>
      <c r="J466" s="265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0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2</v>
      </c>
      <c r="J473" s="226">
        <f ca="1">J488</f>
        <v>2</v>
      </c>
      <c r="K473" s="227">
        <f ca="1">IF(I473&gt;0,J473*100/I473,0)</f>
        <v>100</v>
      </c>
      <c r="L473" s="228">
        <f ca="1">SUM(L474,L475)</f>
        <v>106902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106902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IFERROR(__xludf.DUMMYFUNCTION("IMPORTRANGE(""https://docs.google.com/spreadsheets/d/1C3CXT74ZlgGe6_JY_1olB1XN4rF0dxEuIIF-xsYjHgg/edit?usp=sharing"",""งบกองทุน!Ek69"")"),0)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IFERROR(__xludf.DUMMYFUNCTION("IMPORTRANGE(""https://docs.google.com/spreadsheets/d/1C3CXT74ZlgGe6_JY_1olB1XN4rF0dxEuIIF-xsYjHgg/edit?usp=sharing"",""งบกองทุน!El69"")"),106902)</f>
        <v>106902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3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3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IFERROR(__xludf.DUMMYFUNCTION("IMPORTRANGE(""https://docs.google.com/spreadsheets/d/1C3CXT74ZlgGe6_JY_1olB1XN4rF0dxEuIIF-xsYjHgg/edit?usp=sharing"",""งบกองทุน!Em69"")"),2)</f>
        <v>2</v>
      </c>
      <c r="J482" s="66">
        <f ca="1">IFERROR(__xludf.DUMMYFUNCTION("IMPORTRANGE(""https://docs.google.com/spreadsheets/d/1AGHcLOeeYFL3K4b9R1dSzyJy00PE_ra89DNTVfnxSWM/edit?usp=sharing"",""รวมที่ชุมชน!G58"")"),0)</f>
        <v>0</v>
      </c>
      <c r="K482" s="48">
        <f t="shared" ref="K482:K489" ca="1" si="107">IF(I482&gt;0,J482*100/I482,0)</f>
        <v>0</v>
      </c>
      <c r="L482" s="60"/>
      <c r="M482" s="60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IFERROR(__xludf.DUMMYFUNCTION("IMPORTRANGE(""https://docs.google.com/spreadsheets/d/1C3CXT74ZlgGe6_JY_1olB1XN4rF0dxEuIIF-xsYjHgg/edit?usp=sharing"",""งบกองทุน!En69"")"),0)</f>
        <v>0</v>
      </c>
      <c r="J483" s="66">
        <f ca="1">IFERROR(__xludf.DUMMYFUNCTION("IMPORTRANGE(""https://docs.google.com/spreadsheets/d/1AGHcLOeeYFL3K4b9R1dSzyJy00PE_ra89DNTVfnxSWM/edit?usp=sharing"",""รวมที่ชุมชน!H58"")"),0)</f>
        <v>0</v>
      </c>
      <c r="K483" s="200">
        <f t="shared" ca="1" si="107"/>
        <v>0</v>
      </c>
      <c r="L483" s="60"/>
      <c r="M483" s="60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IFERROR(__xludf.DUMMYFUNCTION("IMPORTRANGE(""https://docs.google.com/spreadsheets/d/1C3CXT74ZlgGe6_JY_1olB1XN4rF0dxEuIIF-xsYjHgg/edit?usp=sharing"",""งบกองทุน!Eo69"")"),2)</f>
        <v>2</v>
      </c>
      <c r="J484" s="66">
        <f ca="1">IFERROR(__xludf.DUMMYFUNCTION("IMPORTRANGE(""https://docs.google.com/spreadsheets/d/1AGHcLOeeYFL3K4b9R1dSzyJy00PE_ra89DNTVfnxSWM/edit?usp=sharing"",""รวมที่ชุมชน!J58"")"),0)</f>
        <v>0</v>
      </c>
      <c r="K484" s="48">
        <f t="shared" ca="1" si="107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IFERROR(__xludf.DUMMYFUNCTION("IMPORTRANGE(""https://docs.google.com/spreadsheets/d/1C3CXT74ZlgGe6_JY_1olB1XN4rF0dxEuIIF-xsYjHgg/edit?usp=sharing"",""งบกองทุน!Ep69"")"),0)</f>
        <v>0</v>
      </c>
      <c r="J485" s="66">
        <f ca="1">IFERROR(__xludf.DUMMYFUNCTION("IMPORTRANGE(""https://docs.google.com/spreadsheets/d/1AGHcLOeeYFL3K4b9R1dSzyJy00PE_ra89DNTVfnxSWM/edit?usp=sharing"",""รวมที่ชุมชน!L58"")"),0)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IFERROR(__xludf.DUMMYFUNCTION("IMPORTRANGE(""https://docs.google.com/spreadsheets/d/1C3CXT74ZlgGe6_JY_1olB1XN4rF0dxEuIIF-xsYjHgg/edit?usp=sharing"",""งบกองทุน!Eq69"")"),2)</f>
        <v>2</v>
      </c>
      <c r="J486" s="66">
        <f ca="1">IFERROR(__xludf.DUMMYFUNCTION("IMPORTRANGE(""https://docs.google.com/spreadsheets/d/1AGHcLOeeYFL3K4b9R1dSzyJy00PE_ra89DNTVfnxSWM/edit?usp=sharing"",""รวมที่ชุมชน!S58"")"),0)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IFERROR(__xludf.DUMMYFUNCTION("IMPORTRANGE(""https://docs.google.com/spreadsheets/d/1C3CXT74ZlgGe6_JY_1olB1XN4rF0dxEuIIF-xsYjHgg/edit?usp=sharing"",""งบกองทุน!Er69"")"),0)</f>
        <v>0</v>
      </c>
      <c r="J487" s="66">
        <f ca="1">IFERROR(__xludf.DUMMYFUNCTION("IMPORTRANGE(""https://docs.google.com/spreadsheets/d/1AGHcLOeeYFL3K4b9R1dSzyJy00PE_ra89DNTVfnxSWM/edit?usp=sharing"",""รวมที่ชุมชน!U58"")"),0)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IFERROR(__xludf.DUMMYFUNCTION("IMPORTRANGE(""https://docs.google.com/spreadsheets/d/1C3CXT74ZlgGe6_JY_1olB1XN4rF0dxEuIIF-xsYjHgg/edit?usp=sharing"",""งบกองทุน!Es69"")"),2)</f>
        <v>2</v>
      </c>
      <c r="J488" s="66">
        <f ca="1">IFERROR(__xludf.DUMMYFUNCTION("IMPORTRANGE(""https://docs.google.com/spreadsheets/d/1AGHcLOeeYFL3K4b9R1dSzyJy00PE_ra89DNTVfnxSWM/edit?usp=sharing"",""รวมที่ชุมชน!V58"")"),2)</f>
        <v>2</v>
      </c>
      <c r="K488" s="48">
        <f t="shared" ca="1" si="107"/>
        <v>100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IFERROR(__xludf.DUMMYFUNCTION("IMPORTRANGE(""https://docs.google.com/spreadsheets/d/1C3CXT74ZlgGe6_JY_1olB1XN4rF0dxEuIIF-xsYjHgg/edit?usp=sharing"",""งบกองทุน!Et69"")"),0)</f>
        <v>0</v>
      </c>
      <c r="J489" s="111">
        <f ca="1">IFERROR(__xludf.DUMMYFUNCTION("IMPORTRANGE(""https://docs.google.com/spreadsheets/d/1AGHcLOeeYFL3K4b9R1dSzyJy00PE_ra89DNTVfnxSWM/edit?usp=sharing"",""รวมที่ชุมชน!X58"")"),1.68)</f>
        <v>1.68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50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4550</v>
      </c>
      <c r="M490" s="259">
        <f>SUM(M491:M492)</f>
        <v>0</v>
      </c>
      <c r="N490" s="259">
        <f t="shared" ref="N490:N494" ca="1" si="109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4550</v>
      </c>
      <c r="M492" s="52">
        <f t="shared" si="110"/>
        <v>0</v>
      </c>
      <c r="N492" s="52">
        <f t="shared" ca="1" si="109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IFERROR(__xludf.DUMMYFUNCTION("IMPORTRANGE(""https://docs.google.com/spreadsheets/d/1C3CXT74ZlgGe6_JY_1olB1XN4rF0dxEuIIF-xsYjHgg/edit?usp=sharing"",""งบกองทุน!Ev69"")"),0)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IFERROR(__xludf.DUMMYFUNCTION("IMPORTRANGE(""https://docs.google.com/spreadsheets/d/1C3CXT74ZlgGe6_JY_1olB1XN4rF0dxEuIIF-xsYjHgg/edit?usp=sharing"",""งบกองทุน!Ew69"")"),4550)</f>
        <v>4550</v>
      </c>
      <c r="M494" s="52">
        <f>SUM(M495:M498)</f>
        <v>0</v>
      </c>
      <c r="N494" s="52">
        <f t="shared" ca="1" si="109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IFERROR(__xludf.DUMMYFUNCTION("IMPORTRANGE(""https://docs.google.com/spreadsheets/d/1C3CXT74ZlgGe6_JY_1olB1XN4rF0dxEuIIF-xsYjHgg/edit?usp=sharing"",""งบกองทุน!EZ69"")"),50)</f>
        <v>50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IFERROR(__xludf.DUMMYFUNCTION("IMPORTRANGE(""https://docs.google.com/spreadsheets/d/1C3CXT74ZlgGe6_JY_1olB1XN4rF0dxEuIIF-xsYjHgg/edit?usp=sharing"",""งบกองทุน!ff69"")"),0)</f>
        <v>0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IFERROR(__xludf.DUMMYFUNCTION("IMPORTRANGE(""https://docs.google.com/spreadsheets/d/1muirlRDkqiswvy_NRZ3Yh955hx-PF6_HhssUYiSJj8o/edit?usp=sharing"",""กองทุน!D69"")"),9220935.21)</f>
        <v>9220935.2100000009</v>
      </c>
      <c r="J521" s="199">
        <f ca="1">IFERROR(__xludf.DUMMYFUNCTION("IMPORTRANGE(""https://docs.google.com/spreadsheets/d/1muirlRDkqiswvy_NRZ3Yh955hx-PF6_HhssUYiSJj8o/edit?usp=sharing"",""กองทุน!F69"")"),50000)</f>
        <v>50000</v>
      </c>
      <c r="K521" s="200">
        <f t="shared" ref="K521:K528" ca="1" si="116">IF(I521&gt;0,J521*100/I521,0)</f>
        <v>0.54224434790275455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IFERROR(__xludf.DUMMYFUNCTION("IMPORTRANGE(""https://docs.google.com/spreadsheets/d/1muirlRDkqiswvy_NRZ3Yh955hx-PF6_HhssUYiSJj8o/edit?usp=sharing"",""กองทุน!C69"")"),216)</f>
        <v>216</v>
      </c>
      <c r="J522" s="199">
        <f ca="1">IFERROR(__xludf.DUMMYFUNCTION("IMPORTRANGE(""https://docs.google.com/spreadsheets/d/1muirlRDkqiswvy_NRZ3Yh955hx-PF6_HhssUYiSJj8o/edit?usp=sharing"",""กองทุน!E69"")"),3)</f>
        <v>3</v>
      </c>
      <c r="K522" s="200">
        <f t="shared" ca="1" si="116"/>
        <v>1.3888888888888888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IFERROR(__xludf.DUMMYFUNCTION("IMPORTRANGE(""https://docs.google.com/spreadsheets/d/1muirlRDkqiswvy_NRZ3Yh955hx-PF6_HhssUYiSJj8o/edit?usp=sharing"",""กองทุน!I69"")"),7637945.67)</f>
        <v>7637945.6699999999</v>
      </c>
      <c r="J523" s="199">
        <f ca="1">IFERROR(__xludf.DUMMYFUNCTION("IMPORTRANGE(""https://docs.google.com/spreadsheets/d/1muirlRDkqiswvy_NRZ3Yh955hx-PF6_HhssUYiSJj8o/edit?usp=sharing"",""กองทุน!K69"")"),30526.47)</f>
        <v>30526.47</v>
      </c>
      <c r="K523" s="200">
        <f t="shared" ca="1" si="116"/>
        <v>0.39966859308649677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IFERROR(__xludf.DUMMYFUNCTION("IMPORTRANGE(""https://docs.google.com/spreadsheets/d/1muirlRDkqiswvy_NRZ3Yh955hx-PF6_HhssUYiSJj8o/edit?usp=sharing"",""กองทุน!H69"")"),174)</f>
        <v>174</v>
      </c>
      <c r="J524" s="199">
        <f ca="1">IFERROR(__xludf.DUMMYFUNCTION("IMPORTRANGE(""https://docs.google.com/spreadsheets/d/1muirlRDkqiswvy_NRZ3Yh955hx-PF6_HhssUYiSJj8o/edit?usp=sharing"",""กองทุน!J69"")"),8)</f>
        <v>8</v>
      </c>
      <c r="K524" s="200">
        <f t="shared" ca="1" si="116"/>
        <v>4.5977011494252871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IFERROR(__xludf.DUMMYFUNCTION("IMPORTRANGE(""https://docs.google.com/spreadsheets/d/1muirlRDkqiswvy_NRZ3Yh955hx-PF6_HhssUYiSJj8o/edit?usp=sharing"",""กองทุน!N69"")"),283548.59)</f>
        <v>283548.59000000003</v>
      </c>
      <c r="J525" s="199">
        <f ca="1">IFERROR(__xludf.DUMMYFUNCTION("IMPORTRANGE(""https://docs.google.com/spreadsheets/d/1muirlRDkqiswvy_NRZ3Yh955hx-PF6_HhssUYiSJj8o/edit?usp=sharing"",""กองทุน!P69"")"),6191.53)</f>
        <v>6191.53</v>
      </c>
      <c r="K525" s="200">
        <f t="shared" ca="1" si="116"/>
        <v>2.1835869471260638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IFERROR(__xludf.DUMMYFUNCTION("IMPORTRANGE(""https://docs.google.com/spreadsheets/d/1muirlRDkqiswvy_NRZ3Yh955hx-PF6_HhssUYiSJj8o/edit?usp=sharing"",""กองทุน!M69"")"),136)</f>
        <v>136</v>
      </c>
      <c r="J526" s="199">
        <f ca="1">IFERROR(__xludf.DUMMYFUNCTION("IMPORTRANGE(""https://docs.google.com/spreadsheets/d/1muirlRDkqiswvy_NRZ3Yh955hx-PF6_HhssUYiSJj8o/edit?usp=sharing"",""กองทุน!O69"")"),2)</f>
        <v>2</v>
      </c>
      <c r="K526" s="200">
        <f t="shared" ca="1" si="116"/>
        <v>1.4705882352941178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IFERROR(__xludf.DUMMYFUNCTION("IMPORTRANGE(""https://docs.google.com/spreadsheets/d/1muirlRDkqiswvy_NRZ3Yh955hx-PF6_HhssUYiSJj8o/edit?usp=sharing"",""กองทุน!S69"")"),4500000)</f>
        <v>4500000</v>
      </c>
      <c r="J527" s="199">
        <f ca="1">IFERROR(__xludf.DUMMYFUNCTION("IMPORTRANGE(""https://docs.google.com/spreadsheets/d/1muirlRDkqiswvy_NRZ3Yh955hx-PF6_HhssUYiSJj8o/edit?usp=sharing"",""กองทุน!U69"")"),0)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IFERROR(__xludf.DUMMYFUNCTION("IMPORTRANGE(""https://docs.google.com/spreadsheets/d/1muirlRDkqiswvy_NRZ3Yh955hx-PF6_HhssUYiSJj8o/edit?usp=sharing"",""กองทุน!R69"")"),90)</f>
        <v>90</v>
      </c>
      <c r="J528" s="324">
        <f ca="1">IFERROR(__xludf.DUMMYFUNCTION("IMPORTRANGE(""https://docs.google.com/spreadsheets/d/1muirlRDkqiswvy_NRZ3Yh955hx-PF6_HhssUYiSJj8o/edit?usp=sharing"",""กองทุน!T69"")"),0)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A5" sqref="A5:G5"/>
      <selection pane="bottomLeft" activeCell="A5" sqref="A5:G5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68" t="s">
        <v>0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</row>
    <row r="2" spans="1:14" ht="18" customHeight="1" x14ac:dyDescent="0.55000000000000004">
      <c r="A2" s="368" t="s">
        <v>235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</row>
    <row r="3" spans="1:14" ht="18" customHeight="1" x14ac:dyDescent="0.55000000000000004">
      <c r="A3" s="368" t="s">
        <v>247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70" t="s">
        <v>4</v>
      </c>
      <c r="B5" s="371"/>
      <c r="C5" s="371"/>
      <c r="D5" s="371"/>
      <c r="E5" s="371"/>
      <c r="F5" s="371"/>
      <c r="G5" s="372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1734635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557200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30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IFERROR(__xludf.DUMMYFUNCTION("IMPORTRANGE(""https://docs.google.com/spreadsheets/d/1C3CXT74ZlgGe6_JY_1olB1XN4rF0dxEuIIF-xsYjHgg/edit?usp=sharing"",""พรบ!C70"")"),557200)</f>
        <v>557200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47"/>
      <c r="K13" s="48"/>
      <c r="L13" s="52">
        <f ca="1">IFERROR(__xludf.DUMMYFUNCTION("IMPORTRANGE(""https://docs.google.com/spreadsheets/d/1C3CXT74ZlgGe6_JY_1olB1XN4rF0dxEuIIF-xsYjHgg/edit?usp=sharing"",""พรบ!D70"")"),185200)</f>
        <v>185200</v>
      </c>
      <c r="M13" s="53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47"/>
      <c r="K14" s="48"/>
      <c r="L14" s="52">
        <f ca="1">IFERROR(__xludf.DUMMYFUNCTION("IMPORTRANGE(""https://docs.google.com/spreadsheets/d/1C3CXT74ZlgGe6_JY_1olB1XN4rF0dxEuIIF-xsYjHgg/edit?usp=sharing"",""พรบ!E70"")"),372000)</f>
        <v>372000</v>
      </c>
      <c r="M14" s="53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v>1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v>0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7">
        <v>0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7">
        <v>0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1</v>
      </c>
      <c r="J20" s="78">
        <f t="shared" si="5"/>
        <v>0</v>
      </c>
      <c r="K20" s="79">
        <f t="shared" ref="K20:K28" ca="1" si="6">IF(I20&gt;0,J20*100/I20,0)</f>
        <v>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30</v>
      </c>
      <c r="J21" s="78">
        <f t="shared" si="7"/>
        <v>0</v>
      </c>
      <c r="K21" s="79">
        <f t="shared" ca="1" si="6"/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IFERROR(__xludf.DUMMYFUNCTION("IMPORTRANGE(""https://docs.google.com/spreadsheets/d/1C3CXT74ZlgGe6_JY_1olB1XN4rF0dxEuIIF-xsYjHgg/edit?usp=sharing"",""พรบ!H70"")"),0)</f>
        <v>0</v>
      </c>
      <c r="J22" s="66">
        <v>0</v>
      </c>
      <c r="K22" s="48">
        <f t="shared" ca="1" si="6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IFERROR(__xludf.DUMMYFUNCTION("IMPORTRANGE(""https://docs.google.com/spreadsheets/d/1C3CXT74ZlgGe6_JY_1olB1XN4rF0dxEuIIF-xsYjHgg/edit?usp=sharing"",""พรบ!I70"")"),0)</f>
        <v>0</v>
      </c>
      <c r="J23" s="66">
        <v>0</v>
      </c>
      <c r="K23" s="48">
        <f t="shared" ca="1" si="6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IFERROR(__xludf.DUMMYFUNCTION("IMPORTRANGE(""https://docs.google.com/spreadsheets/d/1C3CXT74ZlgGe6_JY_1olB1XN4rF0dxEuIIF-xsYjHgg/edit?usp=sharing"",""พรบ!J70"")"),0)</f>
        <v>0</v>
      </c>
      <c r="J24" s="66">
        <v>0</v>
      </c>
      <c r="K24" s="48">
        <f t="shared" ca="1" si="6"/>
        <v>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IFERROR(__xludf.DUMMYFUNCTION("IMPORTRANGE(""https://docs.google.com/spreadsheets/d/1C3CXT74ZlgGe6_JY_1olB1XN4rF0dxEuIIF-xsYjHgg/edit?usp=sharing"",""พรบ!K70"")"),0)</f>
        <v>0</v>
      </c>
      <c r="J25" s="66">
        <v>0</v>
      </c>
      <c r="K25" s="48">
        <f t="shared" ca="1" si="6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IFERROR(__xludf.DUMMYFUNCTION("IMPORTRANGE(""https://docs.google.com/spreadsheets/d/1C3CXT74ZlgGe6_JY_1olB1XN4rF0dxEuIIF-xsYjHgg/edit?usp=sharing"",""พรบ!L70"")"),1)</f>
        <v>1</v>
      </c>
      <c r="J26" s="67">
        <v>0</v>
      </c>
      <c r="K26" s="48">
        <f t="shared" ca="1" si="6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IFERROR(__xludf.DUMMYFUNCTION("IMPORTRANGE(""https://docs.google.com/spreadsheets/d/1C3CXT74ZlgGe6_JY_1olB1XN4rF0dxEuIIF-xsYjHgg/edit?usp=sharing"",""พรบ!M70"")"),30)</f>
        <v>30</v>
      </c>
      <c r="J27" s="67">
        <v>0</v>
      </c>
      <c r="K27" s="48">
        <f t="shared" ca="1" si="6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IFERROR(__xludf.DUMMYFUNCTION("IMPORTRANGE(""https://docs.google.com/spreadsheets/d/1C3CXT74ZlgGe6_JY_1olB1XN4rF0dxEuIIF-xsYjHgg/edit?usp=sharing"",""พรบ!N70"")"),0)</f>
        <v>0</v>
      </c>
      <c r="J28" s="66">
        <v>0</v>
      </c>
      <c r="K28" s="48">
        <f t="shared" ca="1" si="6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7"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IFERROR(__xludf.DUMMYFUNCTION("IMPORTRANGE(""https://docs.google.com/spreadsheets/d/1C3CXT74ZlgGe6_JY_1olB1XN4rF0dxEuIIF-xsYjHgg/edit?usp=sharing"",""พรบ!O70"")"),0)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IFERROR(__xludf.DUMMYFUNCTION("IMPORTRANGE(""https://docs.google.com/spreadsheets/d/1C3CXT74ZlgGe6_JY_1olB1XN4rF0dxEuIIF-xsYjHgg/edit?usp=sharing"",""พรบ!P70"")"),0)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IFERROR(__xludf.DUMMYFUNCTION("IMPORTRANGE(""https://docs.google.com/spreadsheets/d/1C3CXT74ZlgGe6_JY_1olB1XN4rF0dxEuIIF-xsYjHgg/edit?usp=sharing"",""พรบ!Q70"")"),0)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IFERROR(__xludf.DUMMYFUNCTION("IMPORTRANGE(""https://docs.google.com/spreadsheets/d/1C3CXT74ZlgGe6_JY_1olB1XN4rF0dxEuIIF-xsYjHgg/edit?usp=sharing"",""พรบ!R70"")"),0)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IFERROR(__xludf.DUMMYFUNCTION("IMPORTRANGE(""https://docs.google.com/spreadsheets/d/1C3CXT74ZlgGe6_JY_1olB1XN4rF0dxEuIIF-xsYjHgg/edit?usp=sharing"",""พรบ!S70"")"),0)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IFERROR(__xludf.DUMMYFUNCTION("IMPORTRANGE(""https://docs.google.com/spreadsheets/d/1C3CXT74ZlgGe6_JY_1olB1XN4rF0dxEuIIF-xsYjHgg/edit?usp=sharing"",""พรบ!T70"")"),0)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IFERROR(__xludf.DUMMYFUNCTION("IMPORTRANGE(""https://docs.google.com/spreadsheets/d/1C3CXT74ZlgGe6_JY_1olB1XN4rF0dxEuIIF-xsYjHgg/edit?usp=sharing"",""พรบ!U70"")"),0)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IFERROR(__xludf.DUMMYFUNCTION("IMPORTRANGE(""https://docs.google.com/spreadsheets/d/1C3CXT74ZlgGe6_JY_1olB1XN4rF0dxEuIIF-xsYjHgg/edit?usp=sharing"",""พรบ!V70"")"),0)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IFERROR(__xludf.DUMMYFUNCTION("IMPORTRANGE(""https://docs.google.com/spreadsheets/d/1C3CXT74ZlgGe6_JY_1olB1XN4rF0dxEuIIF-xsYjHgg/edit?usp=sharing"",""พรบ!W70"")"),0)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6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IFERROR(__xludf.DUMMYFUNCTION("IMPORTRANGE(""https://docs.google.com/spreadsheets/d/1C3CXT74ZlgGe6_JY_1olB1XN4rF0dxEuIIF-xsYjHgg/edit?usp=sharing"",""พรบ!Y70"")"),0)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IFERROR(__xludf.DUMMYFUNCTION("IMPORTRANGE(""https://docs.google.com/spreadsheets/d/1C3CXT74ZlgGe6_JY_1olB1XN4rF0dxEuIIF-xsYjHgg/edit?usp=sharing"",""พรบ!Z70"")"),0)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246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IFERROR(__xludf.DUMMYFUNCTION("IMPORTRANGE(""https://docs.google.com/spreadsheets/d/1C3CXT74ZlgGe6_JY_1olB1XN4rF0dxEuIIF-xsYjHgg/edit?usp=sharing"",""พรบ!AA70"")"),0)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7">
        <v>0</v>
      </c>
      <c r="K65" s="358"/>
      <c r="L65" s="359"/>
      <c r="M65" s="359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40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670200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670200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IFERROR(__xludf.DUMMYFUNCTION("IMPORTRANGE(""https://docs.google.com/spreadsheets/d/1C3CXT74ZlgGe6_JY_1olB1XN4rF0dxEuIIF-xsYjHgg/edit?usp=sharing"",""พรบ!AD70"")"),396000)</f>
        <v>396000</v>
      </c>
      <c r="M72" s="53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274200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IFERROR(__xludf.DUMMYFUNCTION("IMPORTRANGE(""https://docs.google.com/spreadsheets/d/1C3CXT74ZlgGe6_JY_1olB1XN4rF0dxEuIIF-xsYjHgg/edit?usp=sharing"",""พรบ!AF70"")"),7500)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1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IFERROR(__xludf.DUMMYFUNCTION("IMPORTRANGE(""https://docs.google.com/spreadsheets/d/1C3CXT74ZlgGe6_JY_1olB1XN4rF0dxEuIIF-xsYjHgg/edit?usp=sharing"",""พรบ!AG70"")"),4)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3</v>
      </c>
      <c r="J89" s="149">
        <f t="shared" si="21"/>
        <v>0</v>
      </c>
      <c r="K89" s="150">
        <f ca="1">IF(I89&gt;0,J89*100/I89,0)</f>
        <v>0</v>
      </c>
      <c r="L89" s="147">
        <f ca="1">L90+L91</f>
        <v>42000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42000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IFERROR(__xludf.DUMMYFUNCTION("IMPORTRANGE(""https://docs.google.com/spreadsheets/d/1C3CXT74ZlgGe6_JY_1olB1XN4rF0dxEuIIF-xsYjHgg/edit?usp=sharing"",""พรบ!AH70"")"),42000)</f>
        <v>42000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1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IFERROR(__xludf.DUMMYFUNCTION("IMPORTRANGE(""https://docs.google.com/spreadsheets/d/1C3CXT74ZlgGe6_JY_1olB1XN4rF0dxEuIIF-xsYjHgg/edit?usp=sharing"",""พรบ!AI70"")"),3)</f>
        <v>3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IFERROR(__xludf.DUMMYFUNCTION("IMPORTRANGE(""https://docs.google.com/spreadsheets/d/1C3CXT74ZlgGe6_JY_1olB1XN4rF0dxEuIIF-xsYjHgg/edit?usp=sharing"",""กปร!C70"")"),36000)</f>
        <v>36000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IFERROR(__xludf.DUMMYFUNCTION("IMPORTRANGE(""https://docs.google.com/spreadsheets/d/1C3CXT74ZlgGe6_JY_1olB1XN4rF0dxEuIIF-xsYjHgg/edit?usp=sharing"",""พรบ!AJ70"")"),0)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IFERROR(__xludf.DUMMYFUNCTION("IMPORTRANGE(""https://docs.google.com/spreadsheets/d/1C3CXT74ZlgGe6_JY_1olB1XN4rF0dxEuIIF-xsYjHgg/edit?usp=sharing"",""พรบ!AK70"")"),0)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IFERROR(__xludf.DUMMYFUNCTION("IMPORTRANGE(""https://docs.google.com/spreadsheets/d/1C3CXT74ZlgGe6_JY_1olB1XN4rF0dxEuIIF-xsYjHgg/edit?usp=sharing"",""กปร!D70"")"),0)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IFERROR(__xludf.DUMMYFUNCTION("IMPORTRANGE(""https://docs.google.com/spreadsheets/d/1C3CXT74ZlgGe6_JY_1olB1XN4rF0dxEuIIF-xsYjHgg/edit?usp=sharing"",""พรบ!AL70"")"),0)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IFERROR(__xludf.DUMMYFUNCTION("IMPORTRANGE(""https://docs.google.com/spreadsheets/d/1C3CXT74ZlgGe6_JY_1olB1XN4rF0dxEuIIF-xsYjHgg/edit?usp=sharing"",""กปร!E70"")"),0)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6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20000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9000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9000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IFERROR(__xludf.DUMMYFUNCTION("IMPORTRANGE(""https://docs.google.com/spreadsheets/d/1C3CXT74ZlgGe6_JY_1olB1XN4rF0dxEuIIF-xsYjHgg/edit?usp=sharing"",""พรบ!AM70"")"),9000)</f>
        <v>9000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1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IFERROR(__xludf.DUMMYFUNCTION("IMPORTRANGE(""https://docs.google.com/spreadsheets/d/1C3CXT74ZlgGe6_JY_1olB1XN4rF0dxEuIIF-xsYjHgg/edit?usp=sharing"",""พรบ!AO70"")"),20000)</f>
        <v>20000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IFERROR(__xludf.DUMMYFUNCTION("IMPORTRANGE(""https://docs.google.com/spreadsheets/d/1C3CXT74ZlgGe6_JY_1olB1XN4rF0dxEuIIF-xsYjHgg/edit?usp=sharing"",""พรบ!AP70"")"),20000)</f>
        <v>20000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IFERROR(__xludf.DUMMYFUNCTION("IMPORTRANGE(""https://docs.google.com/spreadsheets/d/1C3CXT74ZlgGe6_JY_1olB1XN4rF0dxEuIIF-xsYjHgg/edit?usp=sharing"",""กปร!F70"")"),5000)</f>
        <v>5000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IFERROR(__xludf.DUMMYFUNCTION("IMPORTRANGE(""https://docs.google.com/spreadsheets/d/1C3CXT74ZlgGe6_JY_1olB1XN4rF0dxEuIIF-xsYjHgg/edit?usp=sharing"",""พรบ!AQ70"")"),0)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IFERROR(__xludf.DUMMYFUNCTION("IMPORTRANGE(""https://docs.google.com/spreadsheets/d/1C3CXT74ZlgGe6_JY_1olB1XN4rF0dxEuIIF-xsYjHgg/edit?usp=sharing"",""กปร!G70"")"),0)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229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40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215700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215700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47"/>
      <c r="K132" s="48"/>
      <c r="L132" s="52">
        <f ca="1">IFERROR(__xludf.DUMMYFUNCTION("IMPORTRANGE(""https://docs.google.com/spreadsheets/d/1C3CXT74ZlgGe6_JY_1olB1XN4rF0dxEuIIF-xsYjHgg/edit?usp=sharing"",""พรบ!AR70"")"),215700)</f>
        <v>215700</v>
      </c>
      <c r="M132" s="53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47"/>
      <c r="K133" s="48"/>
      <c r="L133" s="60"/>
      <c r="M133" s="60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7">
        <v>1</v>
      </c>
      <c r="K134" s="48"/>
      <c r="L134" s="60"/>
      <c r="M134" s="60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7">
        <v>0</v>
      </c>
      <c r="K135" s="48"/>
      <c r="L135" s="60" t="s">
        <v>21</v>
      </c>
      <c r="M135" s="60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7">
        <v>0</v>
      </c>
      <c r="K136" s="48"/>
      <c r="L136" s="60"/>
      <c r="M136" s="60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7">
        <v>0</v>
      </c>
      <c r="K137" s="48"/>
      <c r="L137" s="60"/>
      <c r="M137" s="60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IFERROR(__xludf.DUMMYFUNCTION("IMPORTRANGE(""https://docs.google.com/spreadsheets/d/1C3CXT74ZlgGe6_JY_1olB1XN4rF0dxEuIIF-xsYjHgg/edit?usp=sharing"",""พรบ!AS70"")"),40)</f>
        <v>40</v>
      </c>
      <c r="J138" s="67">
        <v>0</v>
      </c>
      <c r="K138" s="48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IFERROR(__xludf.DUMMYFUNCTION("IMPORTRANGE(""https://docs.google.com/spreadsheets/d/1C3CXT74ZlgGe6_JY_1olB1XN4rF0dxEuIIF-xsYjHgg/edit?usp=sharing"",""กปร!H70"")"),36200)</f>
        <v>36200</v>
      </c>
      <c r="M138" s="361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48"/>
      <c r="L139" s="60"/>
      <c r="M139" s="60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IFERROR(__xludf.DUMMYFUNCTION("IMPORTRANGE(""https://docs.google.com/spreadsheets/d/1C3CXT74ZlgGe6_JY_1olB1XN4rF0dxEuIIF-xsYjHgg/edit?usp=sharing"",""พรบ!AT70"")"),1)</f>
        <v>1</v>
      </c>
      <c r="J140" s="66">
        <v>0</v>
      </c>
      <c r="K140" s="48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IFERROR(__xludf.DUMMYFUNCTION("IMPORTRANGE(""https://docs.google.com/spreadsheets/d/1C3CXT74ZlgGe6_JY_1olB1XN4rF0dxEuIIF-xsYjHgg/edit?usp=sharing"",""กปร!I70"")"),0)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IFERROR(__xludf.DUMMYFUNCTION("IMPORTRANGE(""https://docs.google.com/spreadsheets/d/1C3CXT74ZlgGe6_JY_1olB1XN4rF0dxEuIIF-xsYjHgg/edit?usp=sharing"",""พรบ!AU70"")"),0)</f>
        <v>0</v>
      </c>
      <c r="J141" s="67">
        <v>0</v>
      </c>
      <c r="K141" s="48">
        <f t="shared" ca="1" si="34"/>
        <v>0</v>
      </c>
      <c r="L141" s="52">
        <f ca="1">IFERROR(__xludf.DUMMYFUNCTION("IMPORTRANGE(""https://docs.google.com/spreadsheets/d/1C3CXT74ZlgGe6_JY_1olB1XN4rF0dxEuIIF-xsYjHgg/edit?usp=sharing"",""กปร!J70"")"),10000)</f>
        <v>10000</v>
      </c>
      <c r="M141" s="361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7">
        <v>0</v>
      </c>
      <c r="K142" s="48"/>
      <c r="L142" s="60"/>
      <c r="M142" s="60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112">
        <v>0</v>
      </c>
      <c r="K143" s="113"/>
      <c r="L143" s="114"/>
      <c r="M143" s="114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15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21125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21125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IFERROR(__xludf.DUMMYFUNCTION("IMPORTRANGE(""https://docs.google.com/spreadsheets/d/1C3CXT74ZlgGe6_JY_1olB1XN4rF0dxEuIIF-xsYjHgg/edit?usp=sharing"",""พรบ!AY70"")"),21125)</f>
        <v>21125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15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IFERROR(__xludf.DUMMYFUNCTION("IMPORTRANGE(""https://docs.google.com/spreadsheets/d/1C3CXT74ZlgGe6_JY_1olB1XN4rF0dxEuIIF-xsYjHgg/edit?usp=sharing"",""พรบ!BA70"")"),15)</f>
        <v>15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66"/>
      <c r="K172" s="232"/>
      <c r="L172" s="52">
        <f ca="1">IFERROR(__xludf.DUMMYFUNCTION("IMPORTRANGE(""https://docs.google.com/spreadsheets/d/1C3CXT74ZlgGe6_JY_1olB1XN4rF0dxEuIIF-xsYjHgg/edit?usp=sharing"",""พรบ!BD70"")"),0)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66"/>
      <c r="K173" s="232"/>
      <c r="L173" s="52">
        <f ca="1">IFERROR(__xludf.DUMMYFUNCTION("IMPORTRANGE(""https://docs.google.com/spreadsheets/d/1C3CXT74ZlgGe6_JY_1olB1XN4rF0dxEuIIF-xsYjHgg/edit?usp=sharing"",""พรบ!BE70"")"),0)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IFERROR(__xludf.DUMMYFUNCTION("IMPORTRANGE(""https://docs.google.com/spreadsheets/d/1C3CXT74ZlgGe6_JY_1olB1XN4rF0dxEuIIF-xsYjHgg/edit?usp=sharing"",""พรบ!BF70"")"),0)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IFERROR(__xludf.DUMMYFUNCTION("IMPORTRANGE(""https://docs.google.com/spreadsheets/d/1C3CXT74ZlgGe6_JY_1olB1XN4rF0dxEuIIF-xsYjHgg/edit?usp=sharing"",""พรบ!BG70"")"),0)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IFERROR(__xludf.DUMMYFUNCTION("IMPORTRANGE(""https://docs.google.com/spreadsheets/d/1C3CXT74ZlgGe6_JY_1olB1XN4rF0dxEuIIF-xsYjHgg/edit?usp=sharing"",""พรบ!BH70"")"),0)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IFERROR(__xludf.DUMMYFUNCTION("IMPORTRANGE(""https://docs.google.com/spreadsheets/d/1C3CXT74ZlgGe6_JY_1olB1XN4rF0dxEuIIF-xsYjHgg/edit?usp=sharing"",""พรบ!BI70"")"),0)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7">
        <v>0</v>
      </c>
      <c r="K184" s="358"/>
      <c r="L184" s="359"/>
      <c r="M184" s="359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0</v>
      </c>
      <c r="J185" s="177">
        <f>+J195</f>
        <v>0</v>
      </c>
      <c r="K185" s="178">
        <f ca="1">IF(I185&gt;0,J185*100/I185,0)</f>
        <v>0</v>
      </c>
      <c r="L185" s="179">
        <f ca="1">L186+L187</f>
        <v>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66"/>
      <c r="K188" s="232"/>
      <c r="L188" s="52">
        <f ca="1">IFERROR(__xludf.DUMMYFUNCTION("IMPORTRANGE(""https://docs.google.com/spreadsheets/d/1C3CXT74ZlgGe6_JY_1olB1XN4rF0dxEuIIF-xsYjHgg/edit?usp=sharing"",""พรบ!BK70"")"),0)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66"/>
      <c r="K189" s="232"/>
      <c r="L189" s="52">
        <f ca="1">IFERROR(__xludf.DUMMYFUNCTION("IMPORTRANGE(""https://docs.google.com/spreadsheets/d/1C3CXT74ZlgGe6_JY_1olB1XN4rF0dxEuIIF-xsYjHgg/edit?usp=sharing"",""พรบ!BL70"")"),0)</f>
        <v>0</v>
      </c>
      <c r="M189" s="52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66"/>
      <c r="K190" s="232"/>
      <c r="L190" s="52"/>
      <c r="M190" s="52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6">
        <v>0</v>
      </c>
      <c r="K191" s="232"/>
      <c r="L191" s="52"/>
      <c r="M191" s="52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6">
        <v>0</v>
      </c>
      <c r="K192" s="232"/>
      <c r="L192" s="52"/>
      <c r="M192" s="52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6">
        <v>0</v>
      </c>
      <c r="K193" s="232"/>
      <c r="L193" s="52"/>
      <c r="M193" s="52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6">
        <v>0</v>
      </c>
      <c r="K194" s="232"/>
      <c r="L194" s="52"/>
      <c r="M194" s="52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IFERROR(__xludf.DUMMYFUNCTION("IMPORTRANGE(""https://docs.google.com/spreadsheets/d/1C3CXT74ZlgGe6_JY_1olB1XN4rF0dxEuIIF-xsYjHgg/edit?usp=sharing"",""พรบ!BM70"")"),0)</f>
        <v>0</v>
      </c>
      <c r="J195" s="66">
        <v>0</v>
      </c>
      <c r="K195" s="232">
        <f ca="1">IF(I195&gt;0,J195*100/I195,0)</f>
        <v>0</v>
      </c>
      <c r="L195" s="52"/>
      <c r="M195" s="52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6">
        <v>0</v>
      </c>
      <c r="K196" s="232"/>
      <c r="L196" s="52"/>
      <c r="M196" s="52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356">
        <v>0</v>
      </c>
      <c r="K197" s="232"/>
      <c r="L197" s="52"/>
      <c r="M197" s="52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IFERROR(__xludf.DUMMYFUNCTION("IMPORTRANGE(""https://docs.google.com/spreadsheets/d/1C3CXT74ZlgGe6_JY_1olB1XN4rF0dxEuIIF-xsYjHgg/edit?usp=sharing"",""พรบ!BP70"")"),0)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IFERROR(__xludf.DUMMYFUNCTION("IMPORTRANGE(""https://docs.google.com/spreadsheets/d/1C3CXT74ZlgGe6_JY_1olB1XN4rF0dxEuIIF-xsYjHgg/edit?usp=sharing"",""พรบ!BQ70"")"),0)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IFERROR(__xludf.DUMMYFUNCTION("IMPORTRANGE(""https://docs.google.com/spreadsheets/d/1C3CXT74ZlgGe6_JY_1olB1XN4rF0dxEuIIF-xsYjHgg/edit?usp=sharing"",""พรบ!BR70"")"),0)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IFERROR(__xludf.DUMMYFUNCTION("IMPORTRANGE(""https://docs.google.com/spreadsheets/d/1C3CXT74ZlgGe6_JY_1olB1XN4rF0dxEuIIF-xsYjHgg/edit?usp=sharing"",""พรบ!BU70"")"),0)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IFERROR(__xludf.DUMMYFUNCTION("IMPORTRANGE(""https://docs.google.com/spreadsheets/d/1C3CXT74ZlgGe6_JY_1olB1XN4rF0dxEuIIF-xsYjHgg/edit?usp=sharing"",""พรบ!BV70"")"),0)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0</v>
      </c>
      <c r="J228" s="197">
        <f ca="1">J240</f>
        <v>0</v>
      </c>
      <c r="K228" s="178">
        <f ca="1">IF(I228&gt;0,J228*100/I228,0)</f>
        <v>0</v>
      </c>
      <c r="L228" s="179">
        <f ca="1">L229+L230</f>
        <v>486110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486110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IFERROR(__xludf.DUMMYFUNCTION("IMPORTRANGE(""https://docs.google.com/spreadsheets/d/1C3CXT74ZlgGe6_JY_1olB1XN4rF0dxEuIIF-xsYjHgg/edit?usp=sharing"",""พรบ!BX70"")"),306000)</f>
        <v>306000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IFERROR(__xludf.DUMMYFUNCTION("IMPORTRANGE(""https://docs.google.com/spreadsheets/d/1C3CXT74ZlgGe6_JY_1olB1XN4rF0dxEuIIF-xsYjHgg/edit?usp=sharing"",""พรบ!BY70"")"),180110)</f>
        <v>180110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IFERROR(__xludf.DUMMYFUNCTION("IMPORTRANGE(""https://docs.google.com/spreadsheets/d/1AGHcLOeeYFL3K4b9R1dSzyJy00PE_ra89DNTVfnxSWM/edit?usp=sharing"",""รวมที่ทำกิน!J59"")"),0)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IFERROR(__xludf.DUMMYFUNCTION("IMPORTRANGE(""https://docs.google.com/spreadsheets/d/1C3CXT74ZlgGe6_JY_1olB1XN4rF0dxEuIIF-xsYjHgg/edit?usp=sharing"",""พรบ!BZ70"")"),0)</f>
        <v>0</v>
      </c>
      <c r="J235" s="66">
        <f ca="1">IFERROR(__xludf.DUMMYFUNCTION("IMPORTRANGE(""https://docs.google.com/spreadsheets/d/1AGHcLOeeYFL3K4b9R1dSzyJy00PE_ra89DNTVfnxSWM/edit?usp=sharing"",""รวมที่ทำกิน!L59"")"),0)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IFERROR(__xludf.DUMMYFUNCTION("IMPORTRANGE(""https://docs.google.com/spreadsheets/d/1C3CXT74ZlgGe6_JY_1olB1XN4rF0dxEuIIF-xsYjHgg/edit?usp=sharing"",""พรบ!CA70"")"),0)</f>
        <v>0</v>
      </c>
      <c r="J236" s="66">
        <f ca="1">IFERROR(__xludf.DUMMYFUNCTION("IMPORTRANGE(""https://docs.google.com/spreadsheets/d/1AGHcLOeeYFL3K4b9R1dSzyJy00PE_ra89DNTVfnxSWM/edit?usp=sharing"",""รวมที่ทำกิน!O59"")"),0)</f>
        <v>0</v>
      </c>
      <c r="K236" s="200">
        <f t="shared" ca="1" si="52"/>
        <v>0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IFERROR(__xludf.DUMMYFUNCTION("IMPORTRANGE(""https://docs.google.com/spreadsheets/d/1AGHcLOeeYFL3K4b9R1dSzyJy00PE_ra89DNTVfnxSWM/edit?usp=sharing"",""รวมที่ทำกิน!Q59"")"),0)</f>
        <v>0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IFERROR(__xludf.DUMMYFUNCTION("IMPORTRANGE(""https://docs.google.com/spreadsheets/d/1C3CXT74ZlgGe6_JY_1olB1XN4rF0dxEuIIF-xsYjHgg/edit?usp=sharing"",""พรบ!CB70"")"),0)</f>
        <v>0</v>
      </c>
      <c r="J238" s="66">
        <f ca="1">IFERROR(__xludf.DUMMYFUNCTION("IMPORTRANGE(""https://docs.google.com/spreadsheets/d/1AGHcLOeeYFL3K4b9R1dSzyJy00PE_ra89DNTVfnxSWM/edit?usp=sharing"",""รวมที่ทำกิน!S59"")"),0)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IFERROR(__xludf.DUMMYFUNCTION("IMPORTRANGE(""https://docs.google.com/spreadsheets/d/1AGHcLOeeYFL3K4b9R1dSzyJy00PE_ra89DNTVfnxSWM/edit?usp=sharing"",""รวมที่ทำกิน!U59"")"),0)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IFERROR(__xludf.DUMMYFUNCTION("IMPORTRANGE(""https://docs.google.com/spreadsheets/d/1C3CXT74ZlgGe6_JY_1olB1XN4rF0dxEuIIF-xsYjHgg/edit?usp=sharing"",""พรบ!CC70"")"),0)</f>
        <v>0</v>
      </c>
      <c r="J240" s="66">
        <f ca="1">IFERROR(__xludf.DUMMYFUNCTION("IMPORTRANGE(""https://docs.google.com/spreadsheets/d/1AGHcLOeeYFL3K4b9R1dSzyJy00PE_ra89DNTVfnxSWM/edit?usp=sharing"",""รวมที่ทำกิน!W59"")"),0)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IFERROR(__xludf.DUMMYFUNCTION("IMPORTRANGE(""https://docs.google.com/spreadsheets/d/1AGHcLOeeYFL3K4b9R1dSzyJy00PE_ra89DNTVfnxSWM/edit?usp=sharing"",""รวมที่ทำกิน!Y59"")"),0)</f>
        <v>0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595847</v>
      </c>
      <c r="M242" s="213">
        <f t="shared" si="53"/>
        <v>0</v>
      </c>
      <c r="N242" s="213">
        <f ca="1">+IF(L242&gt;0,M242*100/L242,0)</f>
        <v>0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0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IFERROR(__xludf.DUMMYFUNCTION("IMPORTRANGE(""https://docs.google.com/spreadsheets/d/1C3CXT74ZlgGe6_JY_1olB1XN4rF0dxEuIIF-xsYjHgg/edit?usp=sharing"",""งบกองทุน!d70"")"),0)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IFERROR(__xludf.DUMMYFUNCTION("IMPORTRANGE(""https://docs.google.com/spreadsheets/d/1C3CXT74ZlgGe6_JY_1olB1XN4rF0dxEuIIF-xsYjHgg/edit?usp=sharing"",""งบกองทุน!e70"")"),0)</f>
        <v>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2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2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2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2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66"/>
      <c r="K254" s="232"/>
      <c r="L254" s="52"/>
      <c r="M254" s="52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6">
        <v>0</v>
      </c>
      <c r="K255" s="232"/>
      <c r="L255" s="52"/>
      <c r="M255" s="52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6">
        <v>0</v>
      </c>
      <c r="K256" s="232"/>
      <c r="L256" s="52" t="s">
        <v>21</v>
      </c>
      <c r="M256" s="52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6">
        <v>0</v>
      </c>
      <c r="K257" s="232"/>
      <c r="L257" s="52"/>
      <c r="M257" s="52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6">
        <v>0</v>
      </c>
      <c r="K258" s="232"/>
      <c r="L258" s="52"/>
      <c r="M258" s="52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232"/>
      <c r="L259" s="52"/>
      <c r="M259" s="52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IFERROR(__xludf.DUMMYFUNCTION("IMPORTRANGE(""https://docs.google.com/spreadsheets/d/1C3CXT74ZlgGe6_JY_1olB1XN4rF0dxEuIIF-xsYjHgg/edit?usp=sharing"",""งบกองทุน!f70"")"),0)</f>
        <v>0</v>
      </c>
      <c r="J260" s="66">
        <v>0</v>
      </c>
      <c r="K260" s="232">
        <f ca="1">IF(I260&gt;0,J260*100/I260,0)</f>
        <v>0</v>
      </c>
      <c r="L260" s="52"/>
      <c r="M260" s="52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232"/>
      <c r="L261" s="52"/>
      <c r="M261" s="52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0</v>
      </c>
      <c r="J262" s="66">
        <f t="shared" si="59"/>
        <v>0</v>
      </c>
      <c r="K262" s="232">
        <f t="shared" ref="K262:K268" ca="1" si="60">IF(I262&gt;0,J262*100/I262,0)</f>
        <v>0</v>
      </c>
      <c r="L262" s="52"/>
      <c r="M262" s="52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IFERROR(__xludf.DUMMYFUNCTION("IMPORTRANGE(""https://docs.google.com/spreadsheets/d/1C3CXT74ZlgGe6_JY_1olB1XN4rF0dxEuIIF-xsYjHgg/edit?usp=sharing"",""งบกองทุน!H70"")"),0)</f>
        <v>0</v>
      </c>
      <c r="J263" s="66">
        <f>J267</f>
        <v>0</v>
      </c>
      <c r="K263" s="232">
        <f t="shared" ca="1" si="60"/>
        <v>0</v>
      </c>
      <c r="L263" s="52"/>
      <c r="M263" s="52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IFERROR(__xludf.DUMMYFUNCTION("IMPORTRANGE(""https://docs.google.com/spreadsheets/d/1C3CXT74ZlgGe6_JY_1olB1XN4rF0dxEuIIF-xsYjHgg/edit?usp=sharing"",""งบกองทุน!i70"")"),0)</f>
        <v>0</v>
      </c>
      <c r="J264" s="66">
        <v>0</v>
      </c>
      <c r="K264" s="232">
        <f t="shared" ca="1" si="60"/>
        <v>0</v>
      </c>
      <c r="L264" s="52"/>
      <c r="M264" s="52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0</v>
      </c>
      <c r="J265" s="66">
        <v>0</v>
      </c>
      <c r="K265" s="232">
        <f t="shared" ca="1" si="60"/>
        <v>0</v>
      </c>
      <c r="L265" s="52"/>
      <c r="M265" s="52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IFERROR(__xludf.DUMMYFUNCTION("IMPORTRANGE(""https://docs.google.com/spreadsheets/d/1C3CXT74ZlgGe6_JY_1olB1XN4rF0dxEuIIF-xsYjHgg/edit?usp=sharing"",""งบกองทุน!k70"")"),0)</f>
        <v>0</v>
      </c>
      <c r="J266" s="66">
        <v>0</v>
      </c>
      <c r="K266" s="232">
        <f t="shared" ca="1" si="60"/>
        <v>0</v>
      </c>
      <c r="L266" s="52"/>
      <c r="M266" s="52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0</v>
      </c>
      <c r="J267" s="66">
        <v>0</v>
      </c>
      <c r="K267" s="232">
        <f t="shared" ca="1" si="60"/>
        <v>0</v>
      </c>
      <c r="L267" s="52"/>
      <c r="M267" s="52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IFERROR(__xludf.DUMMYFUNCTION("IMPORTRANGE(""https://docs.google.com/spreadsheets/d/1C3CXT74ZlgGe6_JY_1olB1XN4rF0dxEuIIF-xsYjHgg/edit?usp=sharing"",""งบกองทุน!m70"")"),0)</f>
        <v>0</v>
      </c>
      <c r="J268" s="66">
        <v>0</v>
      </c>
      <c r="K268" s="232">
        <f t="shared" ca="1" si="60"/>
        <v>0</v>
      </c>
      <c r="L268" s="52"/>
      <c r="M268" s="52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232"/>
      <c r="L269" s="52"/>
      <c r="M269" s="52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0</v>
      </c>
      <c r="J270" s="66">
        <f t="shared" si="61"/>
        <v>0</v>
      </c>
      <c r="K270" s="232">
        <f t="shared" ref="K270:K272" ca="1" si="62">IF(I270&gt;0,J270*100/I270,0)</f>
        <v>0</v>
      </c>
      <c r="L270" s="52"/>
      <c r="M270" s="52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IFERROR(__xludf.DUMMYFUNCTION("IMPORTRANGE(""https://docs.google.com/spreadsheets/d/1C3CXT74ZlgGe6_JY_1olB1XN4rF0dxEuIIF-xsYjHgg/edit?usp=sharing"",""งบกองทุน!o70"")"),0)</f>
        <v>0</v>
      </c>
      <c r="J271" s="66">
        <v>0</v>
      </c>
      <c r="K271" s="232">
        <f t="shared" ca="1" si="62"/>
        <v>0</v>
      </c>
      <c r="L271" s="52"/>
      <c r="M271" s="52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IFERROR(__xludf.DUMMYFUNCTION("IMPORTRANGE(""https://docs.google.com/spreadsheets/d/1C3CXT74ZlgGe6_JY_1olB1XN4rF0dxEuIIF-xsYjHgg/edit?usp=sharing"",""งบกองทุน!p70"")"),0)</f>
        <v>0</v>
      </c>
      <c r="J272" s="66">
        <v>0</v>
      </c>
      <c r="K272" s="232">
        <f t="shared" ca="1" si="62"/>
        <v>0</v>
      </c>
      <c r="L272" s="52"/>
      <c r="M272" s="52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6">
        <v>0</v>
      </c>
      <c r="K273" s="232"/>
      <c r="L273" s="52"/>
      <c r="M273" s="52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356">
        <v>0</v>
      </c>
      <c r="K274" s="232"/>
      <c r="L274" s="52"/>
      <c r="M274" s="52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IFERROR(__xludf.DUMMYFUNCTION("IMPORTRANGE(""https://docs.google.com/spreadsheets/d/1C3CXT74ZlgGe6_JY_1olB1XN4rF0dxEuIIF-xsYjHgg/edit?usp=sharing"",""งบกองทุน!r70"")"),0)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IFERROR(__xludf.DUMMYFUNCTION("IMPORTRANGE(""https://docs.google.com/spreadsheets/d/1C3CXT74ZlgGe6_JY_1olB1XN4rF0dxEuIIF-xsYjHgg/edit?usp=sharing"",""งบกองทุน!s70"")"),0)</f>
        <v>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2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2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2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2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66"/>
      <c r="K285" s="232"/>
      <c r="L285" s="52"/>
      <c r="M285" s="52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6">
        <v>0</v>
      </c>
      <c r="K286" s="232"/>
      <c r="L286" s="52"/>
      <c r="M286" s="52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6">
        <v>0</v>
      </c>
      <c r="K287" s="232"/>
      <c r="L287" s="52" t="s">
        <v>21</v>
      </c>
      <c r="M287" s="52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6">
        <v>0</v>
      </c>
      <c r="K288" s="232"/>
      <c r="L288" s="52"/>
      <c r="M288" s="52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6">
        <v>0</v>
      </c>
      <c r="K289" s="232"/>
      <c r="L289" s="52"/>
      <c r="M289" s="52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232"/>
      <c r="L290" s="52"/>
      <c r="M290" s="52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IFERROR(__xludf.DUMMYFUNCTION("IMPORTRANGE(""https://docs.google.com/spreadsheets/d/1C3CXT74ZlgGe6_JY_1olB1XN4rF0dxEuIIF-xsYjHgg/edit?usp=sharing"",""งบกองทุน!v70"")"),0)</f>
        <v>0</v>
      </c>
      <c r="J291" s="66">
        <v>0</v>
      </c>
      <c r="K291" s="232">
        <f t="shared" ref="K291:K293" ca="1" si="67">IF(I291&gt;0,J291*100/I291,0)</f>
        <v>0</v>
      </c>
      <c r="L291" s="52"/>
      <c r="M291" s="52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IFERROR(__xludf.DUMMYFUNCTION("IMPORTRANGE(""https://docs.google.com/spreadsheets/d/1C3CXT74ZlgGe6_JY_1olB1XN4rF0dxEuIIF-xsYjHgg/edit?usp=sharing"",""งบกองทุน!w70"")"),0)</f>
        <v>0</v>
      </c>
      <c r="J292" s="66">
        <v>0</v>
      </c>
      <c r="K292" s="232">
        <f t="shared" ca="1" si="67"/>
        <v>0</v>
      </c>
      <c r="L292" s="52"/>
      <c r="M292" s="52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IFERROR(__xludf.DUMMYFUNCTION("IMPORTRANGE(""https://docs.google.com/spreadsheets/d/1C3CXT74ZlgGe6_JY_1olB1XN4rF0dxEuIIF-xsYjHgg/edit?usp=sharing"",""งบกองทุน!x70"")"),0)</f>
        <v>0</v>
      </c>
      <c r="J293" s="66">
        <v>0</v>
      </c>
      <c r="K293" s="232">
        <f t="shared" ca="1" si="67"/>
        <v>0</v>
      </c>
      <c r="L293" s="52"/>
      <c r="M293" s="52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6">
        <v>0</v>
      </c>
      <c r="K294" s="232"/>
      <c r="L294" s="52"/>
      <c r="M294" s="52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356">
        <v>0</v>
      </c>
      <c r="K295" s="232"/>
      <c r="L295" s="52"/>
      <c r="M295" s="52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225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230070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75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230070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IFERROR(__xludf.DUMMYFUNCTION("IMPORTRANGE(""https://docs.google.com/spreadsheets/d/1C3CXT74ZlgGe6_JY_1olB1XN4rF0dxEuIIF-xsYjHgg/edit?usp=sharing"",""งบกองทุน!z70"")"),0)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IFERROR(__xludf.DUMMYFUNCTION("IMPORTRANGE(""https://docs.google.com/spreadsheets/d/1C3CXT74ZlgGe6_JY_1olB1XN4rF0dxEuIIF-xsYjHgg/edit?usp=sharing"",""งบกองทุน!aa70"")"),230070)</f>
        <v>230070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75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IFERROR(__xludf.DUMMYFUNCTION("IMPORTRANGE(""https://docs.google.com/spreadsheets/d/1C3CXT74ZlgGe6_JY_1olB1XN4rF0dxEuIIF-xsYjHgg/edit?usp=sharing"",""งบกองทุน!ae70"")"),0)</f>
        <v>0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IFERROR(__xludf.DUMMYFUNCTION("IMPORTRANGE(""https://docs.google.com/spreadsheets/d/1C3CXT74ZlgGe6_JY_1olB1XN4rF0dxEuIIF-xsYjHgg/edit?usp=sharing"",""งบกองทุน!ad70"")"),0)</f>
        <v>0</v>
      </c>
      <c r="J313" s="78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IFERROR(__xludf.DUMMYFUNCTION("IMPORTRANGE(""https://docs.google.com/spreadsheets/d/1C3CXT74ZlgGe6_JY_1olB1XN4rF0dxEuIIF-xsYjHgg/edit?usp=sharing"",""งบกองทุน!af70"")"),0)</f>
        <v>0</v>
      </c>
      <c r="J314" s="66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IFERROR(__xludf.DUMMYFUNCTION("IMPORTRANGE(""https://docs.google.com/spreadsheets/d/1C3CXT74ZlgGe6_JY_1olB1XN4rF0dxEuIIF-xsYjHgg/edit?usp=sharing"",""งบกองทุน!ag70"")"),0)</f>
        <v>0</v>
      </c>
      <c r="J315" s="111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IFERROR(__xludf.DUMMYFUNCTION("IMPORTRANGE(""https://docs.google.com/spreadsheets/d/1C3CXT74ZlgGe6_JY_1olB1XN4rF0dxEuIIF-xsYjHgg/edit?usp=sharing"",""งบกองทุน!ai70"")"),65)</f>
        <v>65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IFERROR(__xludf.DUMMYFUNCTION("IMPORTRANGE(""https://docs.google.com/spreadsheets/d/1C3CXT74ZlgGe6_JY_1olB1XN4rF0dxEuIIF-xsYjHgg/edit?usp=sharing"",""งบกองทุน!ah70"")"),195)</f>
        <v>195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IFERROR(__xludf.DUMMYFUNCTION("IMPORTRANGE(""https://docs.google.com/spreadsheets/d/1C3CXT74ZlgGe6_JY_1olB1XN4rF0dxEuIIF-xsYjHgg/edit?usp=sharing"",""งบกองทุน!aj70"")"),65)</f>
        <v>65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IFERROR(__xludf.DUMMYFUNCTION("IMPORTRANGE(""https://docs.google.com/spreadsheets/d/1C3CXT74ZlgGe6_JY_1olB1XN4rF0dxEuIIF-xsYjHgg/edit?usp=sharing"",""งบกองทุน!ak70"")"),65)</f>
        <v>65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IFERROR(__xludf.DUMMYFUNCTION("IMPORTRANGE(""https://docs.google.com/spreadsheets/d/1C3CXT74ZlgGe6_JY_1olB1XN4rF0dxEuIIF-xsYjHgg/edit?usp=sharing"",""งบกองทุน!al70"")"),65)</f>
        <v>65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IFERROR(__xludf.DUMMYFUNCTION("IMPORTRANGE(""https://docs.google.com/spreadsheets/d/1C3CXT74ZlgGe6_JY_1olB1XN4rF0dxEuIIF-xsYjHgg/edit?usp=sharing"",""งบกองทุน!an70"")"),10)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IFERROR(__xludf.DUMMYFUNCTION("IMPORTRANGE(""https://docs.google.com/spreadsheets/d/1C3CXT74ZlgGe6_JY_1olB1XN4rF0dxEuIIF-xsYjHgg/edit?usp=sharing"",""งบกองทุน!am70"")"),30)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IFERROR(__xludf.DUMMYFUNCTION("IMPORTRANGE(""https://docs.google.com/spreadsheets/d/1C3CXT74ZlgGe6_JY_1olB1XN4rF0dxEuIIF-xsYjHgg/edit?usp=sharing"",""งบกองทุน!ao70"")"),10)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IFERROR(__xludf.DUMMYFUNCTION("IMPORTRANGE(""https://docs.google.com/spreadsheets/d/1C3CXT74ZlgGe6_JY_1olB1XN4rF0dxEuIIF-xsYjHgg/edit?usp=sharing"",""งบกองทุน!ap70"")"),10)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65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IFERROR(__xludf.DUMMYFUNCTION("IMPORTRANGE(""https://docs.google.com/spreadsheets/d/1C3CXT74ZlgGe6_JY_1olB1XN4rF0dxEuIIF-xsYjHgg/edit?usp=sharing"",""งบกองทุน!ar70"")"),0)</f>
        <v>0</v>
      </c>
      <c r="J326" s="66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IFERROR(__xludf.DUMMYFUNCTION("IMPORTRANGE(""https://docs.google.com/spreadsheets/d/1C3CXT74ZlgGe6_JY_1olB1XN4rF0dxEuIIF-xsYjHgg/edit?usp=sharing"",""งบกองทุน!as70"")"),65)</f>
        <v>65</v>
      </c>
      <c r="J327" s="67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20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95000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95000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IFERROR(__xludf.DUMMYFUNCTION("IMPORTRANGE(""https://docs.google.com/spreadsheets/d/1C3CXT74ZlgGe6_JY_1olB1XN4rF0dxEuIIF-xsYjHgg/edit?usp=sharing"",""งบกองทุน!au70"")"),0)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IFERROR(__xludf.DUMMYFUNCTION("IMPORTRANGE(""https://docs.google.com/spreadsheets/d/1C3CXT74ZlgGe6_JY_1olB1XN4rF0dxEuIIF-xsYjHgg/edit?usp=sharing"",""งบกองทุน!av70"")"),95000)</f>
        <v>95000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/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20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IFERROR(__xludf.DUMMYFUNCTION("IMPORTRANGE(""https://docs.google.com/spreadsheets/d/1C3CXT74ZlgGe6_JY_1olB1XN4rF0dxEuIIF-xsYjHgg/edit?usp=sharing"",""งบกองทุน!ay70"")"),20)</f>
        <v>20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IFERROR(__xludf.DUMMYFUNCTION("IMPORTRANGE(""https://docs.google.com/spreadsheets/d/1C3CXT74ZlgGe6_JY_1olB1XN4rF0dxEuIIF-xsYjHgg/edit?usp=sharing"",""งบกองทุน!az70"")"),0)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IFERROR(__xludf.DUMMYFUNCTION("IMPORTRANGE(""https://docs.google.com/spreadsheets/d/1C3CXT74ZlgGe6_JY_1olB1XN4rF0dxEuIIF-xsYjHgg/edit?usp=sharing"",""งบกองทุน!Ba70"")"),0)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2147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103457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103457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IFERROR(__xludf.DUMMYFUNCTION("IMPORTRANGE(""https://docs.google.com/spreadsheets/d/1C3CXT74ZlgGe6_JY_1olB1XN4rF0dxEuIIF-xsYjHgg/edit?usp=sharing"",""งบกองทุน!Bc70"")"),0)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IFERROR(__xludf.DUMMYFUNCTION("IMPORTRANGE(""https://docs.google.com/spreadsheets/d/1C3CXT74ZlgGe6_JY_1olB1XN4rF0dxEuIIF-xsYjHgg/edit?usp=sharing"",""งบกองทุน!Bd70"")"),103457)</f>
        <v>103457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IFERROR(__xludf.DUMMYFUNCTION("IMPORTRANGE(""https://docs.google.com/spreadsheets/d/1C3CXT74ZlgGe6_JY_1olB1XN4rF0dxEuIIF-xsYjHgg/edit?usp=sharing"",""งบกองทุน!BE70"")"),2147)</f>
        <v>2147</v>
      </c>
      <c r="J359" s="136">
        <f>+J376</f>
        <v>0</v>
      </c>
      <c r="K359" s="137">
        <f t="shared" ref="K359:K408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IFERROR(__xludf.DUMMYFUNCTION("IMPORTRANGE(""https://docs.google.com/spreadsheets/d/1C3CXT74ZlgGe6_JY_1olB1XN4rF0dxEuIIF-xsYjHgg/edit?usp=sharing"",""งบกองทุน!BE70"")"),2147)</f>
        <v>2147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IFERROR(__xludf.DUMMYFUNCTION("IMPORTRANGE(""https://docs.google.com/spreadsheets/d/1C3CXT74ZlgGe6_JY_1olB1XN4rF0dxEuIIF-xsYjHgg/edit?usp=sharing"",""งบกองทุน!Bf70"")"),227)</f>
        <v>227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2147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265">
        <f ca="1">I361</f>
        <v>227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2147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265">
        <f ca="1">I361</f>
        <v>227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IFERROR(__xludf.DUMMYFUNCTION("IMPORTRANGE(""https://docs.google.com/spreadsheets/d/1C3CXT74ZlgGe6_JY_1olB1XN4rF0dxEuIIF-xsYjHgg/edit?usp=sharing"",""งบกองทุน!cd70"")"),0)</f>
        <v>0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IFERROR(__xludf.DUMMYFUNCTION("IMPORTRANGE(""https://docs.google.com/spreadsheets/d/1C3CXT74ZlgGe6_JY_1olB1XN4rF0dxEuIIF-xsYjHgg/edit?usp=sharing"",""งบกองทุน!cd70"")"),0)</f>
        <v>0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IFERROR(__xludf.DUMMYFUNCTION("IMPORTRANGE(""https://docs.google.com/spreadsheets/d/1C3CXT74ZlgGe6_JY_1olB1XN4rF0dxEuIIF-xsYjHgg/edit?usp=sharing"",""งบกองทุน!cc70"")"),0)</f>
        <v>0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IFERROR(__xludf.DUMMYFUNCTION("IMPORTRANGE(""https://docs.google.com/spreadsheets/d/1C3CXT74ZlgGe6_JY_1olB1XN4rF0dxEuIIF-xsYjHgg/edit?usp=sharing"",""งบกองทุน!cz70"")"),0)</f>
        <v>0</v>
      </c>
      <c r="J409" s="136">
        <v>0</v>
      </c>
      <c r="K409" s="137"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IFERROR(__xludf.DUMMYFUNCTION("IMPORTRANGE(""https://docs.google.com/spreadsheets/d/1C3CXT74ZlgGe6_JY_1olB1XN4rF0dxEuIIF-xsYjHgg/edit?usp=sharing"",""งบกองทุน!cz70"")"),0)</f>
        <v>0</v>
      </c>
      <c r="J410" s="149">
        <v>0</v>
      </c>
      <c r="K410" s="146"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IFERROR(__xludf.DUMMYFUNCTION("IMPORTRANGE(""https://docs.google.com/spreadsheets/d/1C3CXT74ZlgGe6_JY_1olB1XN4rF0dxEuIIF-xsYjHgg/edit?usp=sharing"",""งบกองทุน!cy70"")"),0)</f>
        <v>0</v>
      </c>
      <c r="J411" s="149">
        <v>0</v>
      </c>
      <c r="K411" s="146"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IFERROR(__xludf.DUMMYFUNCTION("IMPORTRANGE(""https://docs.google.com/spreadsheets/d/1C3CXT74ZlgGe6_JY_1olB1XN4rF0dxEuIIF-xsYjHgg/edit?usp=sharing"",""งบกองทุน!db70"")"),0)</f>
        <v>0</v>
      </c>
      <c r="K412" s="48"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IFERROR(__xludf.DUMMYFUNCTION("IMPORTRANGE(""https://docs.google.com/spreadsheets/d/1C3CXT74ZlgGe6_JY_1olB1XN4rF0dxEuIIF-xsYjHgg/edit?usp=sharing"",""งบกองทุน!da70"")"),0)</f>
        <v>0</v>
      </c>
      <c r="K413" s="48"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IFERROR(__xludf.DUMMYFUNCTION("IMPORTRANGE(""https://docs.google.com/spreadsheets/d/1C3CXT74ZlgGe6_JY_1olB1XN4rF0dxEuIIF-xsYjHgg/edit?usp=sharing"",""งบกองทุน!dd70"")"),0)</f>
        <v>0</v>
      </c>
      <c r="K414" s="48"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IFERROR(__xludf.DUMMYFUNCTION("IMPORTRANGE(""https://docs.google.com/spreadsheets/d/1C3CXT74ZlgGe6_JY_1olB1XN4rF0dxEuIIF-xsYjHgg/edit?usp=sharing"",""งบกองทุน!dc70"")"),0)</f>
        <v>0</v>
      </c>
      <c r="K415" s="48"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IFERROR(__xludf.DUMMYFUNCTION("IMPORTRANGE(""https://docs.google.com/spreadsheets/d/1C3CXT74ZlgGe6_JY_1olB1XN4rF0dxEuIIF-xsYjHgg/edit?usp=sharing"",""งบกองทุน!df70"")"),0)</f>
        <v>0</v>
      </c>
      <c r="K416" s="48"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IFERROR(__xludf.DUMMYFUNCTION("IMPORTRANGE(""https://docs.google.com/spreadsheets/d/1C3CXT74ZlgGe6_JY_1olB1XN4rF0dxEuIIF-xsYjHgg/edit?usp=sharing"",""งบกองทุน!de70"")"),0)</f>
        <v>0</v>
      </c>
      <c r="K417" s="48"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4">
        <v>0</v>
      </c>
      <c r="J425" s="300">
        <v>0</v>
      </c>
      <c r="K425" s="301"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22</v>
      </c>
      <c r="J426" s="257">
        <f t="shared" si="91"/>
        <v>0</v>
      </c>
      <c r="K426" s="258">
        <f ca="1">IF(I426&gt;0,J426*100/I426,0)</f>
        <v>0</v>
      </c>
      <c r="L426" s="259">
        <f t="shared" ref="L426:M426" ca="1" si="92">SUM(L427:L428)</f>
        <v>34340</v>
      </c>
      <c r="M426" s="259">
        <f t="shared" si="92"/>
        <v>0</v>
      </c>
      <c r="N426" s="259">
        <f t="shared" ref="N426:N430" ca="1" si="93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34340</v>
      </c>
      <c r="M428" s="52">
        <f t="shared" si="94"/>
        <v>0</v>
      </c>
      <c r="N428" s="52">
        <f t="shared" ca="1" si="93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IFERROR(__xludf.DUMMYFUNCTION("IMPORTRANGE(""https://docs.google.com/spreadsheets/d/1C3CXT74ZlgGe6_JY_1olB1XN4rF0dxEuIIF-xsYjHgg/edit?usp=sharing"",""งบกองทุน!dn70"")"),0)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IFERROR(__xludf.DUMMYFUNCTION("IMPORTRANGE(""https://docs.google.com/spreadsheets/d/1C3CXT74ZlgGe6_JY_1olB1XN4rF0dxEuIIF-xsYjHgg/edit?usp=sharing"",""งบกองทุน!do70"")"),34340)</f>
        <v>34340</v>
      </c>
      <c r="M430" s="52">
        <f>SUM(M431:M434)</f>
        <v>0</v>
      </c>
      <c r="N430" s="52">
        <f t="shared" ca="1" si="93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IFERROR(__xludf.DUMMYFUNCTION("IMPORTRANGE(""https://docs.google.com/spreadsheets/d/1C3CXT74ZlgGe6_JY_1olB1XN4rF0dxEuIIF-xsYjHgg/edit?usp=sharing"",""งบกองทุน!dq70"")"),22)</f>
        <v>22</v>
      </c>
      <c r="J440" s="67">
        <v>0</v>
      </c>
      <c r="K440" s="48">
        <f t="shared" ref="K440:K441" ca="1" si="95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IFERROR(__xludf.DUMMYFUNCTION("IMPORTRANGE(""https://docs.google.com/spreadsheets/d/1C3CXT74ZlgGe6_JY_1olB1XN4rF0dxEuIIF-xsYjHgg/edit?usp=sharing"",""งบกองทุน!dr70"")"),22)</f>
        <v>22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IFERROR(__xludf.DUMMYFUNCTION("IMPORTRANGE(""https://docs.google.com/spreadsheets/d/1C3CXT74ZlgGe6_JY_1olB1XN4rF0dxEuIIF-xsYjHgg/edit?usp=sharing"",""งบกองทุน!dt70"")"),0)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IFERROR(__xludf.DUMMYFUNCTION("IMPORTRANGE(""https://docs.google.com/spreadsheets/d/1C3CXT74ZlgGe6_JY_1olB1XN4rF0dxEuIIF-xsYjHgg/edit?usp=sharing"",""งบกองทุน!du70"")"),0)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IFERROR(__xludf.DUMMYFUNCTION("IMPORTRANGE(""https://docs.google.com/spreadsheets/d/1C3CXT74ZlgGe6_JY_1olB1XN4rF0dxEuIIF-xsYjHgg/edit?usp=sharing"",""งบกองทุน!dw70"")"),0)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IFERROR(__xludf.DUMMYFUNCTION("IMPORTRANGE(""https://docs.google.com/spreadsheets/d/1C3CXT74ZlgGe6_JY_1olB1XN4rF0dxEuIIF-xsYjHgg/edit?usp=sharing"",""งบกองทุน!dx70"")"),0)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IFERROR(__xludf.DUMMYFUNCTION("IMPORTRANGE(""https://docs.google.com/spreadsheets/d/1C3CXT74ZlgGe6_JY_1olB1XN4rF0dxEuIIF-xsYjHgg/edit?usp=sharing"",""งบกองทุน!dy70"")"),0)</f>
        <v>0</v>
      </c>
      <c r="J455" s="66">
        <v>0</v>
      </c>
      <c r="K455" s="48">
        <f t="shared" ca="1" si="100"/>
        <v>0</v>
      </c>
      <c r="L455" s="60"/>
      <c r="M455" s="60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IFERROR(__xludf.DUMMYFUNCTION("IMPORTRANGE(""https://docs.google.com/spreadsheets/d/1C3CXT74ZlgGe6_JY_1olB1XN4rF0dxEuIIF-xsYjHgg/edit?usp=sharing"",""งบกองทุน!dz70"")"),0)</f>
        <v>0</v>
      </c>
      <c r="J456" s="66">
        <v>0</v>
      </c>
      <c r="K456" s="48">
        <f t="shared" ca="1" si="100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150</v>
      </c>
      <c r="J457" s="226">
        <f>+J466</f>
        <v>0</v>
      </c>
      <c r="K457" s="227">
        <f t="shared" ca="1" si="100"/>
        <v>0</v>
      </c>
      <c r="L457" s="228">
        <f t="shared" ref="L457:M457" ca="1" si="101">SUM(L458:L459)</f>
        <v>125680</v>
      </c>
      <c r="M457" s="228">
        <f t="shared" si="101"/>
        <v>0</v>
      </c>
      <c r="N457" s="228">
        <f t="shared" ref="N457:N461" ca="1" si="102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125680</v>
      </c>
      <c r="M459" s="52">
        <f t="shared" si="103"/>
        <v>0</v>
      </c>
      <c r="N459" s="52">
        <f t="shared" ca="1" si="102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IFERROR(__xludf.DUMMYFUNCTION("IMPORTRANGE(""https://docs.google.com/spreadsheets/d/1C3CXT74ZlgGe6_JY_1olB1XN4rF0dxEuIIF-xsYjHgg/edit?usp=sharing"",""งบกองทุน!Eb70"")"),0)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IFERROR(__xludf.DUMMYFUNCTION("IMPORTRANGE(""https://docs.google.com/spreadsheets/d/1C3CXT74ZlgGe6_JY_1olB1XN4rF0dxEuIIF-xsYjHgg/edit?usp=sharing"",""งบกองทุน!Ec70"")"),125680)</f>
        <v>125680</v>
      </c>
      <c r="M461" s="52">
        <f>SUM(M462:M465)</f>
        <v>0</v>
      </c>
      <c r="N461" s="52">
        <f t="shared" ca="1" si="102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IFERROR(__xludf.DUMMYFUNCTION("IMPORTRANGE(""https://docs.google.com/spreadsheets/d/1C3CXT74ZlgGe6_JY_1olB1XN4rF0dxEuIIF-xsYjHgg/edit?usp=sharing"",""งบกองทุน!Ed70"")"),150)</f>
        <v>150</v>
      </c>
      <c r="J466" s="265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/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0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0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IFERROR(__xludf.DUMMYFUNCTION("IMPORTRANGE(""https://docs.google.com/spreadsheets/d/1C3CXT74ZlgGe6_JY_1olB1XN4rF0dxEuIIF-xsYjHgg/edit?usp=sharing"",""งบกองทุน!Ek70"")"),0)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IFERROR(__xludf.DUMMYFUNCTION("IMPORTRANGE(""https://docs.google.com/spreadsheets/d/1C3CXT74ZlgGe6_JY_1olB1XN4rF0dxEuIIF-xsYjHgg/edit?usp=sharing"",""งบกองทุน!El70"")"),0)</f>
        <v>0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IFERROR(__xludf.DUMMYFUNCTION("IMPORTRANGE(""https://docs.google.com/spreadsheets/d/1C3CXT74ZlgGe6_JY_1olB1XN4rF0dxEuIIF-xsYjHgg/edit?usp=sharing"",""งบกองทุน!Em70"")"),0)</f>
        <v>0</v>
      </c>
      <c r="J482" s="66">
        <f ca="1">IFERROR(__xludf.DUMMYFUNCTION("IMPORTRANGE(""https://docs.google.com/spreadsheets/d/1AGHcLOeeYFL3K4b9R1dSzyJy00PE_ra89DNTVfnxSWM/edit?usp=sharing"",""รวมที่ชุมชน!G59"")"),0)</f>
        <v>0</v>
      </c>
      <c r="K482" s="48">
        <f t="shared" ref="K482:K489" ca="1" si="107">IF(I482&gt;0,J482*100/I482,0)</f>
        <v>0</v>
      </c>
      <c r="L482" s="60"/>
      <c r="M482" s="52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IFERROR(__xludf.DUMMYFUNCTION("IMPORTRANGE(""https://docs.google.com/spreadsheets/d/1C3CXT74ZlgGe6_JY_1olB1XN4rF0dxEuIIF-xsYjHgg/edit?usp=sharing"",""งบกองทุน!En70"")"),0)</f>
        <v>0</v>
      </c>
      <c r="J483" s="66">
        <f ca="1">IFERROR(__xludf.DUMMYFUNCTION("IMPORTRANGE(""https://docs.google.com/spreadsheets/d/1AGHcLOeeYFL3K4b9R1dSzyJy00PE_ra89DNTVfnxSWM/edit?usp=sharing"",""รวมที่ชุมชน!H59"")"),0)</f>
        <v>0</v>
      </c>
      <c r="K483" s="200">
        <f t="shared" ca="1" si="107"/>
        <v>0</v>
      </c>
      <c r="L483" s="60"/>
      <c r="M483" s="52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IFERROR(__xludf.DUMMYFUNCTION("IMPORTRANGE(""https://docs.google.com/spreadsheets/d/1C3CXT74ZlgGe6_JY_1olB1XN4rF0dxEuIIF-xsYjHgg/edit?usp=sharing"",""งบกองทุน!Eo70"")"),0)</f>
        <v>0</v>
      </c>
      <c r="J484" s="66">
        <f ca="1">IFERROR(__xludf.DUMMYFUNCTION("IMPORTRANGE(""https://docs.google.com/spreadsheets/d/1AGHcLOeeYFL3K4b9R1dSzyJy00PE_ra89DNTVfnxSWM/edit?usp=sharing"",""รวมที่ชุมชน!J59"")"),0)</f>
        <v>0</v>
      </c>
      <c r="K484" s="48">
        <f t="shared" ca="1" si="107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IFERROR(__xludf.DUMMYFUNCTION("IMPORTRANGE(""https://docs.google.com/spreadsheets/d/1C3CXT74ZlgGe6_JY_1olB1XN4rF0dxEuIIF-xsYjHgg/edit?usp=sharing"",""งบกองทุน!Ep70"")"),0)</f>
        <v>0</v>
      </c>
      <c r="J485" s="66">
        <f ca="1">IFERROR(__xludf.DUMMYFUNCTION("IMPORTRANGE(""https://docs.google.com/spreadsheets/d/1AGHcLOeeYFL3K4b9R1dSzyJy00PE_ra89DNTVfnxSWM/edit?usp=sharing"",""รวมที่ชุมชน!L59"")"),0)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IFERROR(__xludf.DUMMYFUNCTION("IMPORTRANGE(""https://docs.google.com/spreadsheets/d/1C3CXT74ZlgGe6_JY_1olB1XN4rF0dxEuIIF-xsYjHgg/edit?usp=sharing"",""งบกองทุน!Eq70"")"),0)</f>
        <v>0</v>
      </c>
      <c r="J486" s="66">
        <f ca="1">IFERROR(__xludf.DUMMYFUNCTION("IMPORTRANGE(""https://docs.google.com/spreadsheets/d/1AGHcLOeeYFL3K4b9R1dSzyJy00PE_ra89DNTVfnxSWM/edit?usp=sharing"",""รวมที่ชุมชน!S59"")"),0)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IFERROR(__xludf.DUMMYFUNCTION("IMPORTRANGE(""https://docs.google.com/spreadsheets/d/1C3CXT74ZlgGe6_JY_1olB1XN4rF0dxEuIIF-xsYjHgg/edit?usp=sharing"",""งบกองทุน!Er70"")"),0)</f>
        <v>0</v>
      </c>
      <c r="J487" s="66">
        <f ca="1">IFERROR(__xludf.DUMMYFUNCTION("IMPORTRANGE(""https://docs.google.com/spreadsheets/d/1AGHcLOeeYFL3K4b9R1dSzyJy00PE_ra89DNTVfnxSWM/edit?usp=sharing"",""รวมที่ชุมชน!U59"")"),0)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IFERROR(__xludf.DUMMYFUNCTION("IMPORTRANGE(""https://docs.google.com/spreadsheets/d/1C3CXT74ZlgGe6_JY_1olB1XN4rF0dxEuIIF-xsYjHgg/edit?usp=sharing"",""งบกองทุน!Es70"")"),0)</f>
        <v>0</v>
      </c>
      <c r="J488" s="66">
        <f ca="1">IFERROR(__xludf.DUMMYFUNCTION("IMPORTRANGE(""https://docs.google.com/spreadsheets/d/1AGHcLOeeYFL3K4b9R1dSzyJy00PE_ra89DNTVfnxSWM/edit?usp=sharing"",""รวมที่ชุมชน!V59"")"),0)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IFERROR(__xludf.DUMMYFUNCTION("IMPORTRANGE(""https://docs.google.com/spreadsheets/d/1C3CXT74ZlgGe6_JY_1olB1XN4rF0dxEuIIF-xsYjHgg/edit?usp=sharing"",""งบกองทุน!Et70"")"),0)</f>
        <v>0</v>
      </c>
      <c r="J489" s="111">
        <f ca="1">IFERROR(__xludf.DUMMYFUNCTION("IMPORTRANGE(""https://docs.google.com/spreadsheets/d/1AGHcLOeeYFL3K4b9R1dSzyJy00PE_ra89DNTVfnxSWM/edit?usp=sharing"",""รวมที่ชุมชน!X59"")"),0)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100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7300</v>
      </c>
      <c r="M490" s="259">
        <f>SUM(M491:M492)</f>
        <v>0</v>
      </c>
      <c r="N490" s="259">
        <f t="shared" ref="N490:N494" ca="1" si="109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7300</v>
      </c>
      <c r="M492" s="52">
        <f t="shared" si="110"/>
        <v>0</v>
      </c>
      <c r="N492" s="52">
        <f t="shared" ca="1" si="109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IFERROR(__xludf.DUMMYFUNCTION("IMPORTRANGE(""https://docs.google.com/spreadsheets/d/1C3CXT74ZlgGe6_JY_1olB1XN4rF0dxEuIIF-xsYjHgg/edit?usp=sharing"",""งบกองทุน!Ev70"")"),0)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IFERROR(__xludf.DUMMYFUNCTION("IMPORTRANGE(""https://docs.google.com/spreadsheets/d/1C3CXT74ZlgGe6_JY_1olB1XN4rF0dxEuIIF-xsYjHgg/edit?usp=sharing"",""งบกองทุน!Ew70"")"),7300)</f>
        <v>7300</v>
      </c>
      <c r="M494" s="52">
        <f>SUM(M495:M498)</f>
        <v>0</v>
      </c>
      <c r="N494" s="52">
        <f t="shared" ca="1" si="109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1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IFERROR(__xludf.DUMMYFUNCTION("IMPORTRANGE(""https://docs.google.com/spreadsheets/d/1C3CXT74ZlgGe6_JY_1olB1XN4rF0dxEuIIF-xsYjHgg/edit?usp=sharing"",""งบกองทุน!EZ70"")"),100)</f>
        <v>100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IFERROR(__xludf.DUMMYFUNCTION("IMPORTRANGE(""https://docs.google.com/spreadsheets/d/1C3CXT74ZlgGe6_JY_1olB1XN4rF0dxEuIIF-xsYjHgg/edit?usp=sharing"",""งบกองทุน!ff70"")"),0)</f>
        <v>0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IFERROR(__xludf.DUMMYFUNCTION("IMPORTRANGE(""https://docs.google.com/spreadsheets/d/1muirlRDkqiswvy_NRZ3Yh955hx-PF6_HhssUYiSJj8o/edit?usp=sharing"",""กองทุน!D70"")"),313547.549999999)</f>
        <v>313547.549999999</v>
      </c>
      <c r="J521" s="199">
        <f ca="1">IFERROR(__xludf.DUMMYFUNCTION("IMPORTRANGE(""https://docs.google.com/spreadsheets/d/1muirlRDkqiswvy_NRZ3Yh955hx-PF6_HhssUYiSJj8o/edit?usp=sharing"",""กองทุน!F70"")"),0)</f>
        <v>0</v>
      </c>
      <c r="K521" s="200">
        <f t="shared" ref="K521:K528" ca="1" si="116">IF(I521&gt;0,J521*100/I521,0)</f>
        <v>0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IFERROR(__xludf.DUMMYFUNCTION("IMPORTRANGE(""https://docs.google.com/spreadsheets/d/1muirlRDkqiswvy_NRZ3Yh955hx-PF6_HhssUYiSJj8o/edit?usp=sharing"",""กองทุน!C70"")"),44)</f>
        <v>44</v>
      </c>
      <c r="J522" s="199">
        <f ca="1">IFERROR(__xludf.DUMMYFUNCTION("IMPORTRANGE(""https://docs.google.com/spreadsheets/d/1muirlRDkqiswvy_NRZ3Yh955hx-PF6_HhssUYiSJj8o/edit?usp=sharing"",""กองทุน!E70"")"),0)</f>
        <v>0</v>
      </c>
      <c r="K522" s="200">
        <f t="shared" ca="1" si="116"/>
        <v>0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IFERROR(__xludf.DUMMYFUNCTION("IMPORTRANGE(""https://docs.google.com/spreadsheets/d/1muirlRDkqiswvy_NRZ3Yh955hx-PF6_HhssUYiSJj8o/edit?usp=sharing"",""กองทุน!I70"")"),8858387.29999999)</f>
        <v>8858387.2999999896</v>
      </c>
      <c r="J523" s="199">
        <f ca="1">IFERROR(__xludf.DUMMYFUNCTION("IMPORTRANGE(""https://docs.google.com/spreadsheets/d/1muirlRDkqiswvy_NRZ3Yh955hx-PF6_HhssUYiSJj8o/edit?usp=sharing"",""กองทุน!K70"")"),178946.1)</f>
        <v>178946.1</v>
      </c>
      <c r="K523" s="200">
        <f t="shared" ca="1" si="116"/>
        <v>2.0200753697007605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IFERROR(__xludf.DUMMYFUNCTION("IMPORTRANGE(""https://docs.google.com/spreadsheets/d/1muirlRDkqiswvy_NRZ3Yh955hx-PF6_HhssUYiSJj8o/edit?usp=sharing"",""กองทุน!H70"")"),266)</f>
        <v>266</v>
      </c>
      <c r="J524" s="199">
        <f ca="1">IFERROR(__xludf.DUMMYFUNCTION("IMPORTRANGE(""https://docs.google.com/spreadsheets/d/1muirlRDkqiswvy_NRZ3Yh955hx-PF6_HhssUYiSJj8o/edit?usp=sharing"",""กองทุน!J70"")"),26)</f>
        <v>26</v>
      </c>
      <c r="K524" s="200">
        <f t="shared" ca="1" si="116"/>
        <v>9.7744360902255636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IFERROR(__xludf.DUMMYFUNCTION("IMPORTRANGE(""https://docs.google.com/spreadsheets/d/1muirlRDkqiswvy_NRZ3Yh955hx-PF6_HhssUYiSJj8o/edit?usp=sharing"",""กองทุน!N70"")"),1476352.17)</f>
        <v>1476352.17</v>
      </c>
      <c r="J525" s="199">
        <f ca="1">IFERROR(__xludf.DUMMYFUNCTION("IMPORTRANGE(""https://docs.google.com/spreadsheets/d/1muirlRDkqiswvy_NRZ3Yh955hx-PF6_HhssUYiSJj8o/edit?usp=sharing"",""กองทุน!P70"")"),3210.21)</f>
        <v>3210.21</v>
      </c>
      <c r="K525" s="200">
        <f t="shared" ca="1" si="116"/>
        <v>0.21744202130308787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IFERROR(__xludf.DUMMYFUNCTION("IMPORTRANGE(""https://docs.google.com/spreadsheets/d/1muirlRDkqiswvy_NRZ3Yh955hx-PF6_HhssUYiSJj8o/edit?usp=sharing"",""กองทุน!M70"")"),1469)</f>
        <v>1469</v>
      </c>
      <c r="J526" s="199">
        <f ca="1">IFERROR(__xludf.DUMMYFUNCTION("IMPORTRANGE(""https://docs.google.com/spreadsheets/d/1muirlRDkqiswvy_NRZ3Yh955hx-PF6_HhssUYiSJj8o/edit?usp=sharing"",""กองทุน!O70"")"),5)</f>
        <v>5</v>
      </c>
      <c r="K526" s="200">
        <f t="shared" ca="1" si="116"/>
        <v>0.34036759700476515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IFERROR(__xludf.DUMMYFUNCTION("IMPORTRANGE(""https://docs.google.com/spreadsheets/d/1muirlRDkqiswvy_NRZ3Yh955hx-PF6_HhssUYiSJj8o/edit?usp=sharing"",""กองทุน!S70"")"),3000000)</f>
        <v>3000000</v>
      </c>
      <c r="J527" s="199">
        <f ca="1">IFERROR(__xludf.DUMMYFUNCTION("IMPORTRANGE(""https://docs.google.com/spreadsheets/d/1muirlRDkqiswvy_NRZ3Yh955hx-PF6_HhssUYiSJj8o/edit?usp=sharing"",""กองทุน!U70"")"),0)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IFERROR(__xludf.DUMMYFUNCTION("IMPORTRANGE(""https://docs.google.com/spreadsheets/d/1muirlRDkqiswvy_NRZ3Yh955hx-PF6_HhssUYiSJj8o/edit?usp=sharing"",""กองทุน!R70"")"),100)</f>
        <v>100</v>
      </c>
      <c r="J528" s="324">
        <f ca="1">IFERROR(__xludf.DUMMYFUNCTION("IMPORTRANGE(""https://docs.google.com/spreadsheets/d/1muirlRDkqiswvy_NRZ3Yh955hx-PF6_HhssUYiSJj8o/edit?usp=sharing"",""กองทุน!T70"")"),0)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A5" sqref="A5:G5"/>
      <selection pane="bottomLeft" activeCell="A5" sqref="A5:G5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68" t="s">
        <v>0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</row>
    <row r="2" spans="1:14" ht="18" customHeight="1" x14ac:dyDescent="0.55000000000000004">
      <c r="A2" s="368" t="s">
        <v>236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</row>
    <row r="3" spans="1:14" ht="18" customHeight="1" x14ac:dyDescent="0.55000000000000004">
      <c r="A3" s="368" t="s">
        <v>247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70" t="s">
        <v>4</v>
      </c>
      <c r="B5" s="371"/>
      <c r="C5" s="371"/>
      <c r="D5" s="371"/>
      <c r="E5" s="371"/>
      <c r="F5" s="371"/>
      <c r="G5" s="372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773005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IFERROR(__xludf.DUMMYFUNCTION("IMPORTRANGE(""https://docs.google.com/spreadsheets/d/1C3CXT74ZlgGe6_JY_1olB1XN4rF0dxEuIIF-xsYjHgg/edit?usp=sharing"",""พรบ!C71"")"),0)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66"/>
      <c r="K13" s="232"/>
      <c r="L13" s="52">
        <f ca="1">IFERROR(__xludf.DUMMYFUNCTION("IMPORTRANGE(""https://docs.google.com/spreadsheets/d/1C3CXT74ZlgGe6_JY_1olB1XN4rF0dxEuIIF-xsYjHgg/edit?usp=sharing"",""พรบ!D71"")"),0)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66"/>
      <c r="K14" s="232"/>
      <c r="L14" s="52">
        <f ca="1">IFERROR(__xludf.DUMMYFUNCTION("IMPORTRANGE(""https://docs.google.com/spreadsheets/d/1C3CXT74ZlgGe6_JY_1olB1XN4rF0dxEuIIF-xsYjHgg/edit?usp=sharing"",""พรบ!E71"")"),0)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28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IFERROR(__xludf.DUMMYFUNCTION("IMPORTRANGE(""https://docs.google.com/spreadsheets/d/1C3CXT74ZlgGe6_JY_1olB1XN4rF0dxEuIIF-xsYjHgg/edit?usp=sharing"",""พรบ!H71"")"),0)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IFERROR(__xludf.DUMMYFUNCTION("IMPORTRANGE(""https://docs.google.com/spreadsheets/d/1C3CXT74ZlgGe6_JY_1olB1XN4rF0dxEuIIF-xsYjHgg/edit?usp=sharing"",""พรบ!I71"")"),0)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IFERROR(__xludf.DUMMYFUNCTION("IMPORTRANGE(""https://docs.google.com/spreadsheets/d/1C3CXT74ZlgGe6_JY_1olB1XN4rF0dxEuIIF-xsYjHgg/edit?usp=sharing"",""พรบ!J71"")"),0)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IFERROR(__xludf.DUMMYFUNCTION("IMPORTRANGE(""https://docs.google.com/spreadsheets/d/1C3CXT74ZlgGe6_JY_1olB1XN4rF0dxEuIIF-xsYjHgg/edit?usp=sharing"",""พรบ!K71"")"),0)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IFERROR(__xludf.DUMMYFUNCTION("IMPORTRANGE(""https://docs.google.com/spreadsheets/d/1C3CXT74ZlgGe6_JY_1olB1XN4rF0dxEuIIF-xsYjHgg/edit?usp=sharing"",""พรบ!L71"")"),0)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IFERROR(__xludf.DUMMYFUNCTION("IMPORTRANGE(""https://docs.google.com/spreadsheets/d/1C3CXT74ZlgGe6_JY_1olB1XN4rF0dxEuIIF-xsYjHgg/edit?usp=sharing"",""พรบ!M71"")"),0)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IFERROR(__xludf.DUMMYFUNCTION("IMPORTRANGE(""https://docs.google.com/spreadsheets/d/1C3CXT74ZlgGe6_JY_1olB1XN4rF0dxEuIIF-xsYjHgg/edit?usp=sharing"",""พรบ!N71"")"),0)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6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IFERROR(__xludf.DUMMYFUNCTION("IMPORTRANGE(""https://docs.google.com/spreadsheets/d/1C3CXT74ZlgGe6_JY_1olB1XN4rF0dxEuIIF-xsYjHgg/edit?usp=sharing"",""พรบ!O71"")"),0)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IFERROR(__xludf.DUMMYFUNCTION("IMPORTRANGE(""https://docs.google.com/spreadsheets/d/1C3CXT74ZlgGe6_JY_1olB1XN4rF0dxEuIIF-xsYjHgg/edit?usp=sharing"",""พรบ!P71"")"),0)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IFERROR(__xludf.DUMMYFUNCTION("IMPORTRANGE(""https://docs.google.com/spreadsheets/d/1C3CXT74ZlgGe6_JY_1olB1XN4rF0dxEuIIF-xsYjHgg/edit?usp=sharing"",""พรบ!Q71"")"),0)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IFERROR(__xludf.DUMMYFUNCTION("IMPORTRANGE(""https://docs.google.com/spreadsheets/d/1C3CXT74ZlgGe6_JY_1olB1XN4rF0dxEuIIF-xsYjHgg/edit?usp=sharing"",""พรบ!R71"")"),0)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IFERROR(__xludf.DUMMYFUNCTION("IMPORTRANGE(""https://docs.google.com/spreadsheets/d/1C3CXT74ZlgGe6_JY_1olB1XN4rF0dxEuIIF-xsYjHgg/edit?usp=sharing"",""พรบ!S71"")"),0)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IFERROR(__xludf.DUMMYFUNCTION("IMPORTRANGE(""https://docs.google.com/spreadsheets/d/1C3CXT74ZlgGe6_JY_1olB1XN4rF0dxEuIIF-xsYjHgg/edit?usp=sharing"",""พรบ!T71"")"),0)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IFERROR(__xludf.DUMMYFUNCTION("IMPORTRANGE(""https://docs.google.com/spreadsheets/d/1C3CXT74ZlgGe6_JY_1olB1XN4rF0dxEuIIF-xsYjHgg/edit?usp=sharing"",""พรบ!U71"")"),0)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IFERROR(__xludf.DUMMYFUNCTION("IMPORTRANGE(""https://docs.google.com/spreadsheets/d/1C3CXT74ZlgGe6_JY_1olB1XN4rF0dxEuIIF-xsYjHgg/edit?usp=sharing"",""พรบ!V71"")"),0)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IFERROR(__xludf.DUMMYFUNCTION("IMPORTRANGE(""https://docs.google.com/spreadsheets/d/1C3CXT74ZlgGe6_JY_1olB1XN4rF0dxEuIIF-xsYjHgg/edit?usp=sharing"",""พรบ!W71"")"),0)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6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IFERROR(__xludf.DUMMYFUNCTION("IMPORTRANGE(""https://docs.google.com/spreadsheets/d/1C3CXT74ZlgGe6_JY_1olB1XN4rF0dxEuIIF-xsYjHgg/edit?usp=sharing"",""พรบ!Y71"")"),0)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IFERROR(__xludf.DUMMYFUNCTION("IMPORTRANGE(""https://docs.google.com/spreadsheets/d/1C3CXT74ZlgGe6_JY_1olB1XN4rF0dxEuIIF-xsYjHgg/edit?usp=sharing"",""พรบ!Z71"")"),0)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246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IFERROR(__xludf.DUMMYFUNCTION("IMPORTRANGE(""https://docs.google.com/spreadsheets/d/1C3CXT74ZlgGe6_JY_1olB1XN4rF0dxEuIIF-xsYjHgg/edit?usp=sharing"",""พรบ!AA71"")"),0)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7">
        <v>0</v>
      </c>
      <c r="K65" s="358"/>
      <c r="L65" s="359"/>
      <c r="M65" s="359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50000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50000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IFERROR(__xludf.DUMMYFUNCTION("IMPORTRANGE(""https://docs.google.com/spreadsheets/d/1C3CXT74ZlgGe6_JY_1olB1XN4rF0dxEuIIF-xsYjHgg/edit?usp=sharing"",""พรบ!AD71"")"),0)</f>
        <v>0</v>
      </c>
      <c r="M72" s="52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50000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IFERROR(__xludf.DUMMYFUNCTION("IMPORTRANGE(""https://docs.google.com/spreadsheets/d/1C3CXT74ZlgGe6_JY_1olB1XN4rF0dxEuIIF-xsYjHgg/edit?usp=sharing"",""พรบ!AF71"")"),7500)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1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IFERROR(__xludf.DUMMYFUNCTION("IMPORTRANGE(""https://docs.google.com/spreadsheets/d/1C3CXT74ZlgGe6_JY_1olB1XN4rF0dxEuIIF-xsYjHgg/edit?usp=sharing"",""พรบ!AG71"")"),4)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/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2</v>
      </c>
      <c r="J89" s="149">
        <f t="shared" si="21"/>
        <v>0</v>
      </c>
      <c r="K89" s="150">
        <f ca="1">IF(I89&gt;0,J89*100/I89,0)</f>
        <v>0</v>
      </c>
      <c r="L89" s="147">
        <f ca="1">L90+L91</f>
        <v>28000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28000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IFERROR(__xludf.DUMMYFUNCTION("IMPORTRANGE(""https://docs.google.com/spreadsheets/d/1C3CXT74ZlgGe6_JY_1olB1XN4rF0dxEuIIF-xsYjHgg/edit?usp=sharing"",""พรบ!AH71"")"),28000)</f>
        <v>28000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IFERROR(__xludf.DUMMYFUNCTION("IMPORTRANGE(""https://docs.google.com/spreadsheets/d/1C3CXT74ZlgGe6_JY_1olB1XN4rF0dxEuIIF-xsYjHgg/edit?usp=sharing"",""พรบ!AI71"")"),2)</f>
        <v>2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IFERROR(__xludf.DUMMYFUNCTION("IMPORTRANGE(""https://docs.google.com/spreadsheets/d/1C3CXT74ZlgGe6_JY_1olB1XN4rF0dxEuIIF-xsYjHgg/edit?usp=sharing"",""กปร!C71"")"),24000)</f>
        <v>24000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IFERROR(__xludf.DUMMYFUNCTION("IMPORTRANGE(""https://docs.google.com/spreadsheets/d/1C3CXT74ZlgGe6_JY_1olB1XN4rF0dxEuIIF-xsYjHgg/edit?usp=sharing"",""พรบ!AJ71"")"),0)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IFERROR(__xludf.DUMMYFUNCTION("IMPORTRANGE(""https://docs.google.com/spreadsheets/d/1C3CXT74ZlgGe6_JY_1olB1XN4rF0dxEuIIF-xsYjHgg/edit?usp=sharing"",""พรบ!AK71"")"),0)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IFERROR(__xludf.DUMMYFUNCTION("IMPORTRANGE(""https://docs.google.com/spreadsheets/d/1C3CXT74ZlgGe6_JY_1olB1XN4rF0dxEuIIF-xsYjHgg/edit?usp=sharing"",""กปร!D71"")"),0)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IFERROR(__xludf.DUMMYFUNCTION("IMPORTRANGE(""https://docs.google.com/spreadsheets/d/1C3CXT74ZlgGe6_JY_1olB1XN4rF0dxEuIIF-xsYjHgg/edit?usp=sharing"",""พรบ!AL71"")"),0)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IFERROR(__xludf.DUMMYFUNCTION("IMPORTRANGE(""https://docs.google.com/spreadsheets/d/1C3CXT74ZlgGe6_JY_1olB1XN4rF0dxEuIIF-xsYjHgg/edit?usp=sharing"",""กปร!E71"")"),0)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6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30000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14500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14500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IFERROR(__xludf.DUMMYFUNCTION("IMPORTRANGE(""https://docs.google.com/spreadsheets/d/1C3CXT74ZlgGe6_JY_1olB1XN4rF0dxEuIIF-xsYjHgg/edit?usp=sharing"",""พรบ!AM71"")"),14500)</f>
        <v>14500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1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IFERROR(__xludf.DUMMYFUNCTION("IMPORTRANGE(""https://docs.google.com/spreadsheets/d/1C3CXT74ZlgGe6_JY_1olB1XN4rF0dxEuIIF-xsYjHgg/edit?usp=sharing"",""พรบ!AO71"")"),30000)</f>
        <v>30000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IFERROR(__xludf.DUMMYFUNCTION("IMPORTRANGE(""https://docs.google.com/spreadsheets/d/1C3CXT74ZlgGe6_JY_1olB1XN4rF0dxEuIIF-xsYjHgg/edit?usp=sharing"",""พรบ!AP71"")"),30000)</f>
        <v>30000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IFERROR(__xludf.DUMMYFUNCTION("IMPORTRANGE(""https://docs.google.com/spreadsheets/d/1C3CXT74ZlgGe6_JY_1olB1XN4rF0dxEuIIF-xsYjHgg/edit?usp=sharing"",""กปร!F71"")"),8500)</f>
        <v>8500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IFERROR(__xludf.DUMMYFUNCTION("IMPORTRANGE(""https://docs.google.com/spreadsheets/d/1C3CXT74ZlgGe6_JY_1olB1XN4rF0dxEuIIF-xsYjHgg/edit?usp=sharing"",""พรบ!AQ71"")"),0)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IFERROR(__xludf.DUMMYFUNCTION("IMPORTRANGE(""https://docs.google.com/spreadsheets/d/1C3CXT74ZlgGe6_JY_1olB1XN4rF0dxEuIIF-xsYjHgg/edit?usp=sharing"",""กปร!G71"")"),0)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IFERROR(__xludf.DUMMYFUNCTION("IMPORTRANGE(""https://docs.google.com/spreadsheets/d/1C3CXT74ZlgGe6_JY_1olB1XN4rF0dxEuIIF-xsYjHgg/edit?usp=sharing"",""พรบ!AR71"")"),0)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IFERROR(__xludf.DUMMYFUNCTION("IMPORTRANGE(""https://docs.google.com/spreadsheets/d/1C3CXT74ZlgGe6_JY_1olB1XN4rF0dxEuIIF-xsYjHgg/edit?usp=sharing"",""พรบ!AS71"")"),0)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IFERROR(__xludf.DUMMYFUNCTION("IMPORTRANGE(""https://docs.google.com/spreadsheets/d/1C3CXT74ZlgGe6_JY_1olB1XN4rF0dxEuIIF-xsYjHgg/edit?usp=sharing"",""กปร!H71"")"),0)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IFERROR(__xludf.DUMMYFUNCTION("IMPORTRANGE(""https://docs.google.com/spreadsheets/d/1C3CXT74ZlgGe6_JY_1olB1XN4rF0dxEuIIF-xsYjHgg/edit?usp=sharing"",""พรบ!AT71"")"),0)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IFERROR(__xludf.DUMMYFUNCTION("IMPORTRANGE(""https://docs.google.com/spreadsheets/d/1C3CXT74ZlgGe6_JY_1olB1XN4rF0dxEuIIF-xsYjHgg/edit?usp=sharing"",""กปร!I71"")"),0)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IFERROR(__xludf.DUMMYFUNCTION("IMPORTRANGE(""https://docs.google.com/spreadsheets/d/1C3CXT74ZlgGe6_JY_1olB1XN4rF0dxEuIIF-xsYjHgg/edit?usp=sharing"",""พรบ!AU71"")"),0)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IFERROR(__xludf.DUMMYFUNCTION("IMPORTRANGE(""https://docs.google.com/spreadsheets/d/1C3CXT74ZlgGe6_JY_1olB1XN4rF0dxEuIIF-xsYjHgg/edit?usp=sharing"",""กปร!J71"")"),0)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7">
        <v>0</v>
      </c>
      <c r="K143" s="358"/>
      <c r="L143" s="359"/>
      <c r="M143" s="359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15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21125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21125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IFERROR(__xludf.DUMMYFUNCTION("IMPORTRANGE(""https://docs.google.com/spreadsheets/d/1C3CXT74ZlgGe6_JY_1olB1XN4rF0dxEuIIF-xsYjHgg/edit?usp=sharing"",""พรบ!AY71"")"),21125)</f>
        <v>21125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15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1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1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IFERROR(__xludf.DUMMYFUNCTION("IMPORTRANGE(""https://docs.google.com/spreadsheets/d/1C3CXT74ZlgGe6_JY_1olB1XN4rF0dxEuIIF-xsYjHgg/edit?usp=sharing"",""พรบ!BA71"")"),15)</f>
        <v>15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/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66"/>
      <c r="K171" s="232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66"/>
      <c r="K172" s="232"/>
      <c r="L172" s="52">
        <f ca="1">IFERROR(__xludf.DUMMYFUNCTION("IMPORTRANGE(""https://docs.google.com/spreadsheets/d/1C3CXT74ZlgGe6_JY_1olB1XN4rF0dxEuIIF-xsYjHgg/edit?usp=sharing"",""พรบ!BD71"")"),0)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66"/>
      <c r="K173" s="232"/>
      <c r="L173" s="52">
        <f ca="1">IFERROR(__xludf.DUMMYFUNCTION("IMPORTRANGE(""https://docs.google.com/spreadsheets/d/1C3CXT74ZlgGe6_JY_1olB1XN4rF0dxEuIIF-xsYjHgg/edit?usp=sharing"",""พรบ!BE71"")"),0)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IFERROR(__xludf.DUMMYFUNCTION("IMPORTRANGE(""https://docs.google.com/spreadsheets/d/1C3CXT74ZlgGe6_JY_1olB1XN4rF0dxEuIIF-xsYjHgg/edit?usp=sharing"",""พรบ!BF71"")"),0)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IFERROR(__xludf.DUMMYFUNCTION("IMPORTRANGE(""https://docs.google.com/spreadsheets/d/1C3CXT74ZlgGe6_JY_1olB1XN4rF0dxEuIIF-xsYjHgg/edit?usp=sharing"",""พรบ!BG71"")"),0)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IFERROR(__xludf.DUMMYFUNCTION("IMPORTRANGE(""https://docs.google.com/spreadsheets/d/1C3CXT74ZlgGe6_JY_1olB1XN4rF0dxEuIIF-xsYjHgg/edit?usp=sharing"",""พรบ!BH71"")"),0)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IFERROR(__xludf.DUMMYFUNCTION("IMPORTRANGE(""https://docs.google.com/spreadsheets/d/1C3CXT74ZlgGe6_JY_1olB1XN4rF0dxEuIIF-xsYjHgg/edit?usp=sharing"",""พรบ!BI71"")"),0)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7">
        <v>0</v>
      </c>
      <c r="K184" s="358"/>
      <c r="L184" s="359"/>
      <c r="M184" s="359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0</v>
      </c>
      <c r="J185" s="177">
        <f>+J195</f>
        <v>0</v>
      </c>
      <c r="K185" s="178">
        <f ca="1">IF(I185&gt;0,J185*100/I185,0)</f>
        <v>0</v>
      </c>
      <c r="L185" s="179">
        <f ca="1">L186+L187</f>
        <v>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66"/>
      <c r="K188" s="232"/>
      <c r="L188" s="52">
        <f ca="1">IFERROR(__xludf.DUMMYFUNCTION("IMPORTRANGE(""https://docs.google.com/spreadsheets/d/1C3CXT74ZlgGe6_JY_1olB1XN4rF0dxEuIIF-xsYjHgg/edit?usp=sharing"",""พรบ!BK71"")"),0)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66"/>
      <c r="K189" s="232"/>
      <c r="L189" s="52">
        <f ca="1">IFERROR(__xludf.DUMMYFUNCTION("IMPORTRANGE(""https://docs.google.com/spreadsheets/d/1C3CXT74ZlgGe6_JY_1olB1XN4rF0dxEuIIF-xsYjHgg/edit?usp=sharing"",""พรบ!BL71"")"),0)</f>
        <v>0</v>
      </c>
      <c r="M189" s="52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66"/>
      <c r="K190" s="232"/>
      <c r="L190" s="52"/>
      <c r="M190" s="52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6">
        <v>0</v>
      </c>
      <c r="K191" s="232"/>
      <c r="L191" s="52"/>
      <c r="M191" s="52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6">
        <v>0</v>
      </c>
      <c r="K192" s="232"/>
      <c r="L192" s="52"/>
      <c r="M192" s="52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6">
        <v>0</v>
      </c>
      <c r="K193" s="232"/>
      <c r="L193" s="52"/>
      <c r="M193" s="52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6">
        <v>0</v>
      </c>
      <c r="K194" s="232"/>
      <c r="L194" s="52"/>
      <c r="M194" s="52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IFERROR(__xludf.DUMMYFUNCTION("IMPORTRANGE(""https://docs.google.com/spreadsheets/d/1C3CXT74ZlgGe6_JY_1olB1XN4rF0dxEuIIF-xsYjHgg/edit?usp=sharing"",""พรบ!BM71"")"),0)</f>
        <v>0</v>
      </c>
      <c r="J195" s="66">
        <v>0</v>
      </c>
      <c r="K195" s="232">
        <f ca="1">IF(I195&gt;0,J195*100/I195,0)</f>
        <v>0</v>
      </c>
      <c r="L195" s="52"/>
      <c r="M195" s="52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6">
        <v>0</v>
      </c>
      <c r="K196" s="232"/>
      <c r="L196" s="52"/>
      <c r="M196" s="52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356">
        <v>0</v>
      </c>
      <c r="K197" s="232"/>
      <c r="L197" s="52"/>
      <c r="M197" s="52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IFERROR(__xludf.DUMMYFUNCTION("IMPORTRANGE(""https://docs.google.com/spreadsheets/d/1C3CXT74ZlgGe6_JY_1olB1XN4rF0dxEuIIF-xsYjHgg/edit?usp=sharing"",""พรบ!BP71"")"),0)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IFERROR(__xludf.DUMMYFUNCTION("IMPORTRANGE(""https://docs.google.com/spreadsheets/d/1C3CXT74ZlgGe6_JY_1olB1XN4rF0dxEuIIF-xsYjHgg/edit?usp=sharing"",""พรบ!BQ71"")"),0)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IFERROR(__xludf.DUMMYFUNCTION("IMPORTRANGE(""https://docs.google.com/spreadsheets/d/1C3CXT74ZlgGe6_JY_1olB1XN4rF0dxEuIIF-xsYjHgg/edit?usp=sharing"",""พรบ!BR71"")"),0)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IFERROR(__xludf.DUMMYFUNCTION("IMPORTRANGE(""https://docs.google.com/spreadsheets/d/1C3CXT74ZlgGe6_JY_1olB1XN4rF0dxEuIIF-xsYjHgg/edit?usp=sharing"",""พรบ!BU71"")"),0)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IFERROR(__xludf.DUMMYFUNCTION("IMPORTRANGE(""https://docs.google.com/spreadsheets/d/1C3CXT74ZlgGe6_JY_1olB1XN4rF0dxEuIIF-xsYjHgg/edit?usp=sharing"",""พรบ!BV71"")"),0)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33</v>
      </c>
      <c r="J228" s="197">
        <f ca="1">J240</f>
        <v>1</v>
      </c>
      <c r="K228" s="178">
        <f ca="1">IF(I228&gt;0,J228*100/I228,0)</f>
        <v>3.0303030303030303</v>
      </c>
      <c r="L228" s="179">
        <f ca="1">L229+L230</f>
        <v>701880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701880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IFERROR(__xludf.DUMMYFUNCTION("IMPORTRANGE(""https://docs.google.com/spreadsheets/d/1C3CXT74ZlgGe6_JY_1olB1XN4rF0dxEuIIF-xsYjHgg/edit?usp=sharing"",""พรบ!BX71"")"),493800)</f>
        <v>493800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IFERROR(__xludf.DUMMYFUNCTION("IMPORTRANGE(""https://docs.google.com/spreadsheets/d/1C3CXT74ZlgGe6_JY_1olB1XN4rF0dxEuIIF-xsYjHgg/edit?usp=sharing"",""พรบ!BY71"")"),208080)</f>
        <v>208080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IFERROR(__xludf.DUMMYFUNCTION("IMPORTRANGE(""https://docs.google.com/spreadsheets/d/1AGHcLOeeYFL3K4b9R1dSzyJy00PE_ra89DNTVfnxSWM/edit?usp=sharing"",""รวมที่ทำกิน!J60"")"),0)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IFERROR(__xludf.DUMMYFUNCTION("IMPORTRANGE(""https://docs.google.com/spreadsheets/d/1C3CXT74ZlgGe6_JY_1olB1XN4rF0dxEuIIF-xsYjHgg/edit?usp=sharing"",""พรบ!BZ71"")"),180)</f>
        <v>180</v>
      </c>
      <c r="J235" s="66">
        <f ca="1">IFERROR(__xludf.DUMMYFUNCTION("IMPORTRANGE(""https://docs.google.com/spreadsheets/d/1AGHcLOeeYFL3K4b9R1dSzyJy00PE_ra89DNTVfnxSWM/edit?usp=sharing"",""รวมที่ทำกิน!L60"")"),0)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IFERROR(__xludf.DUMMYFUNCTION("IMPORTRANGE(""https://docs.google.com/spreadsheets/d/1C3CXT74ZlgGe6_JY_1olB1XN4rF0dxEuIIF-xsYjHgg/edit?usp=sharing"",""พรบ!CA71"")"),33)</f>
        <v>33</v>
      </c>
      <c r="J236" s="66">
        <f ca="1">IFERROR(__xludf.DUMMYFUNCTION("IMPORTRANGE(""https://docs.google.com/spreadsheets/d/1AGHcLOeeYFL3K4b9R1dSzyJy00PE_ra89DNTVfnxSWM/edit?usp=sharing"",""รวมที่ทำกิน!O60"")"),1)</f>
        <v>1</v>
      </c>
      <c r="K236" s="200">
        <f t="shared" ca="1" si="52"/>
        <v>3.0303030303030303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IFERROR(__xludf.DUMMYFUNCTION("IMPORTRANGE(""https://docs.google.com/spreadsheets/d/1AGHcLOeeYFL3K4b9R1dSzyJy00PE_ra89DNTVfnxSWM/edit?usp=sharing"",""รวมที่ทำกิน!Q60"")"),6.71)</f>
        <v>6.71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IFERROR(__xludf.DUMMYFUNCTION("IMPORTRANGE(""https://docs.google.com/spreadsheets/d/1C3CXT74ZlgGe6_JY_1olB1XN4rF0dxEuIIF-xsYjHgg/edit?usp=sharing"",""พรบ!CB71"")"),33)</f>
        <v>33</v>
      </c>
      <c r="J238" s="66">
        <f ca="1">IFERROR(__xludf.DUMMYFUNCTION("IMPORTRANGE(""https://docs.google.com/spreadsheets/d/1AGHcLOeeYFL3K4b9R1dSzyJy00PE_ra89DNTVfnxSWM/edit?usp=sharing"",""รวมที่ทำกิน!S60"")"),0)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IFERROR(__xludf.DUMMYFUNCTION("IMPORTRANGE(""https://docs.google.com/spreadsheets/d/1AGHcLOeeYFL3K4b9R1dSzyJy00PE_ra89DNTVfnxSWM/edit?usp=sharing"",""รวมที่ทำกิน!U60"")"),0)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IFERROR(__xludf.DUMMYFUNCTION("IMPORTRANGE(""https://docs.google.com/spreadsheets/d/1C3CXT74ZlgGe6_JY_1olB1XN4rF0dxEuIIF-xsYjHgg/edit?usp=sharing"",""พรบ!CC71"")"),33)</f>
        <v>33</v>
      </c>
      <c r="J240" s="66">
        <f ca="1">IFERROR(__xludf.DUMMYFUNCTION("IMPORTRANGE(""https://docs.google.com/spreadsheets/d/1AGHcLOeeYFL3K4b9R1dSzyJy00PE_ra89DNTVfnxSWM/edit?usp=sharing"",""รวมที่ทำกิน!W60"")"),1)</f>
        <v>1</v>
      </c>
      <c r="K240" s="200">
        <f t="shared" ca="1" si="52"/>
        <v>3.0303030303030303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IFERROR(__xludf.DUMMYFUNCTION("IMPORTRANGE(""https://docs.google.com/spreadsheets/d/1AGHcLOeeYFL3K4b9R1dSzyJy00PE_ra89DNTVfnxSWM/edit?usp=sharing"",""รวมที่ทำกิน!Y60"")"),6.71)</f>
        <v>6.71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832597</v>
      </c>
      <c r="M242" s="213">
        <f t="shared" si="53"/>
        <v>0</v>
      </c>
      <c r="N242" s="213">
        <f ca="1">+IF(L242&gt;0,M242*100/L242,0)</f>
        <v>0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0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IFERROR(__xludf.DUMMYFUNCTION("IMPORTRANGE(""https://docs.google.com/spreadsheets/d/1C3CXT74ZlgGe6_JY_1olB1XN4rF0dxEuIIF-xsYjHgg/edit?usp=sharing"",""งบกองทุน!d71"")"),0)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IFERROR(__xludf.DUMMYFUNCTION("IMPORTRANGE(""https://docs.google.com/spreadsheets/d/1C3CXT74ZlgGe6_JY_1olB1XN4rF0dxEuIIF-xsYjHgg/edit?usp=sharing"",""งบกองทุน!e71"")"),0)</f>
        <v>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2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2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2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2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66"/>
      <c r="K254" s="232"/>
      <c r="L254" s="52"/>
      <c r="M254" s="52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6">
        <v>0</v>
      </c>
      <c r="K255" s="232"/>
      <c r="L255" s="52"/>
      <c r="M255" s="52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6">
        <v>0</v>
      </c>
      <c r="K256" s="232"/>
      <c r="L256" s="52" t="s">
        <v>21</v>
      </c>
      <c r="M256" s="52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6">
        <v>0</v>
      </c>
      <c r="K257" s="232"/>
      <c r="L257" s="52"/>
      <c r="M257" s="52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6">
        <v>0</v>
      </c>
      <c r="K258" s="232"/>
      <c r="L258" s="52"/>
      <c r="M258" s="52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232"/>
      <c r="L259" s="52"/>
      <c r="M259" s="52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IFERROR(__xludf.DUMMYFUNCTION("IMPORTRANGE(""https://docs.google.com/spreadsheets/d/1C3CXT74ZlgGe6_JY_1olB1XN4rF0dxEuIIF-xsYjHgg/edit?usp=sharing"",""งบกองทุน!f71"")"),0)</f>
        <v>0</v>
      </c>
      <c r="J260" s="66">
        <v>0</v>
      </c>
      <c r="K260" s="232">
        <f ca="1">IF(I260&gt;0,J260*100/I260,0)</f>
        <v>0</v>
      </c>
      <c r="L260" s="52"/>
      <c r="M260" s="52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232"/>
      <c r="L261" s="52"/>
      <c r="M261" s="52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0</v>
      </c>
      <c r="J262" s="66">
        <f t="shared" si="59"/>
        <v>0</v>
      </c>
      <c r="K262" s="232">
        <f t="shared" ref="K262:K268" ca="1" si="60">IF(I262&gt;0,J262*100/I262,0)</f>
        <v>0</v>
      </c>
      <c r="L262" s="52"/>
      <c r="M262" s="52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IFERROR(__xludf.DUMMYFUNCTION("IMPORTRANGE(""https://docs.google.com/spreadsheets/d/1C3CXT74ZlgGe6_JY_1olB1XN4rF0dxEuIIF-xsYjHgg/edit?usp=sharing"",""งบกองทุน!H71"")"),0)</f>
        <v>0</v>
      </c>
      <c r="J263" s="66">
        <f>J267</f>
        <v>0</v>
      </c>
      <c r="K263" s="232">
        <f t="shared" ca="1" si="60"/>
        <v>0</v>
      </c>
      <c r="L263" s="52"/>
      <c r="M263" s="52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IFERROR(__xludf.DUMMYFUNCTION("IMPORTRANGE(""https://docs.google.com/spreadsheets/d/1C3CXT74ZlgGe6_JY_1olB1XN4rF0dxEuIIF-xsYjHgg/edit?usp=sharing"",""งบกองทุน!i71"")"),0)</f>
        <v>0</v>
      </c>
      <c r="J264" s="66">
        <v>0</v>
      </c>
      <c r="K264" s="232">
        <f t="shared" ca="1" si="60"/>
        <v>0</v>
      </c>
      <c r="L264" s="52"/>
      <c r="M264" s="52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0</v>
      </c>
      <c r="J265" s="66">
        <v>0</v>
      </c>
      <c r="K265" s="232">
        <f t="shared" ca="1" si="60"/>
        <v>0</v>
      </c>
      <c r="L265" s="52"/>
      <c r="M265" s="52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IFERROR(__xludf.DUMMYFUNCTION("IMPORTRANGE(""https://docs.google.com/spreadsheets/d/1C3CXT74ZlgGe6_JY_1olB1XN4rF0dxEuIIF-xsYjHgg/edit?usp=sharing"",""งบกองทุน!k71"")"),0)</f>
        <v>0</v>
      </c>
      <c r="J266" s="66">
        <v>0</v>
      </c>
      <c r="K266" s="232">
        <f t="shared" ca="1" si="60"/>
        <v>0</v>
      </c>
      <c r="L266" s="52"/>
      <c r="M266" s="52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0</v>
      </c>
      <c r="J267" s="66">
        <v>0</v>
      </c>
      <c r="K267" s="232">
        <f t="shared" ca="1" si="60"/>
        <v>0</v>
      </c>
      <c r="L267" s="52"/>
      <c r="M267" s="52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IFERROR(__xludf.DUMMYFUNCTION("IMPORTRANGE(""https://docs.google.com/spreadsheets/d/1C3CXT74ZlgGe6_JY_1olB1XN4rF0dxEuIIF-xsYjHgg/edit?usp=sharing"",""งบกองทุน!m71"")"),0)</f>
        <v>0</v>
      </c>
      <c r="J268" s="66">
        <v>0</v>
      </c>
      <c r="K268" s="232">
        <f t="shared" ca="1" si="60"/>
        <v>0</v>
      </c>
      <c r="L268" s="52"/>
      <c r="M268" s="52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232"/>
      <c r="L269" s="52"/>
      <c r="M269" s="52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0</v>
      </c>
      <c r="J270" s="66">
        <f t="shared" si="61"/>
        <v>0</v>
      </c>
      <c r="K270" s="232">
        <f t="shared" ref="K270:K272" ca="1" si="62">IF(I270&gt;0,J270*100/I270,0)</f>
        <v>0</v>
      </c>
      <c r="L270" s="52"/>
      <c r="M270" s="52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IFERROR(__xludf.DUMMYFUNCTION("IMPORTRANGE(""https://docs.google.com/spreadsheets/d/1C3CXT74ZlgGe6_JY_1olB1XN4rF0dxEuIIF-xsYjHgg/edit?usp=sharing"",""งบกองทุน!o71"")"),0)</f>
        <v>0</v>
      </c>
      <c r="J271" s="66">
        <v>0</v>
      </c>
      <c r="K271" s="232">
        <f t="shared" ca="1" si="62"/>
        <v>0</v>
      </c>
      <c r="L271" s="52"/>
      <c r="M271" s="52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IFERROR(__xludf.DUMMYFUNCTION("IMPORTRANGE(""https://docs.google.com/spreadsheets/d/1C3CXT74ZlgGe6_JY_1olB1XN4rF0dxEuIIF-xsYjHgg/edit?usp=sharing"",""งบกองทุน!p71"")"),0)</f>
        <v>0</v>
      </c>
      <c r="J272" s="66">
        <v>0</v>
      </c>
      <c r="K272" s="232">
        <f t="shared" ca="1" si="62"/>
        <v>0</v>
      </c>
      <c r="L272" s="52"/>
      <c r="M272" s="52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6">
        <v>0</v>
      </c>
      <c r="K273" s="232"/>
      <c r="L273" s="52"/>
      <c r="M273" s="52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356">
        <v>0</v>
      </c>
      <c r="K274" s="232"/>
      <c r="L274" s="52"/>
      <c r="M274" s="52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200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207560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20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207560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IFERROR(__xludf.DUMMYFUNCTION("IMPORTRANGE(""https://docs.google.com/spreadsheets/d/1C3CXT74ZlgGe6_JY_1olB1XN4rF0dxEuIIF-xsYjHgg/edit?usp=sharing"",""งบกองทุน!r71"")"),0)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IFERROR(__xludf.DUMMYFUNCTION("IMPORTRANGE(""https://docs.google.com/spreadsheets/d/1C3CXT74ZlgGe6_JY_1olB1XN4rF0dxEuIIF-xsYjHgg/edit?usp=sharing"",""งบกองทุน!s71"")"),207560)</f>
        <v>207560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IFERROR(__xludf.DUMMYFUNCTION("IMPORTRANGE(""https://docs.google.com/spreadsheets/d/1C3CXT74ZlgGe6_JY_1olB1XN4rF0dxEuIIF-xsYjHgg/edit?usp=sharing"",""งบกองทุน!v71"")"),20)</f>
        <v>20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IFERROR(__xludf.DUMMYFUNCTION("IMPORTRANGE(""https://docs.google.com/spreadsheets/d/1C3CXT74ZlgGe6_JY_1olB1XN4rF0dxEuIIF-xsYjHgg/edit?usp=sharing"",""งบกองทุน!w71"")"),200)</f>
        <v>200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IFERROR(__xludf.DUMMYFUNCTION("IMPORTRANGE(""https://docs.google.com/spreadsheets/d/1C3CXT74ZlgGe6_JY_1olB1XN4rF0dxEuIIF-xsYjHgg/edit?usp=sharing"",""งบกองทุน!x71"")"),20)</f>
        <v>20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180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207000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60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207000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IFERROR(__xludf.DUMMYFUNCTION("IMPORTRANGE(""https://docs.google.com/spreadsheets/d/1C3CXT74ZlgGe6_JY_1olB1XN4rF0dxEuIIF-xsYjHgg/edit?usp=sharing"",""งบกองทุน!z71"")"),0)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IFERROR(__xludf.DUMMYFUNCTION("IMPORTRANGE(""https://docs.google.com/spreadsheets/d/1C3CXT74ZlgGe6_JY_1olB1XN4rF0dxEuIIF-xsYjHgg/edit?usp=sharing"",""งบกองทุน!aa71"")"),207000)</f>
        <v>207000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60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IFERROR(__xludf.DUMMYFUNCTION("IMPORTRANGE(""https://docs.google.com/spreadsheets/d/1C3CXT74ZlgGe6_JY_1olB1XN4rF0dxEuIIF-xsYjHgg/edit?usp=sharing"",""งบกองทุน!ae71"")"),25)</f>
        <v>25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IFERROR(__xludf.DUMMYFUNCTION("IMPORTRANGE(""https://docs.google.com/spreadsheets/d/1C3CXT74ZlgGe6_JY_1olB1XN4rF0dxEuIIF-xsYjHgg/edit?usp=sharing"",""งบกองทุน!ad71"")"),75)</f>
        <v>75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IFERROR(__xludf.DUMMYFUNCTION("IMPORTRANGE(""https://docs.google.com/spreadsheets/d/1C3CXT74ZlgGe6_JY_1olB1XN4rF0dxEuIIF-xsYjHgg/edit?usp=sharing"",""งบกองทุน!af71"")"),25)</f>
        <v>25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IFERROR(__xludf.DUMMYFUNCTION("IMPORTRANGE(""https://docs.google.com/spreadsheets/d/1C3CXT74ZlgGe6_JY_1olB1XN4rF0dxEuIIF-xsYjHgg/edit?usp=sharing"",""งบกองทุน!ag71"")"),25)</f>
        <v>25</v>
      </c>
      <c r="J315" s="247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IFERROR(__xludf.DUMMYFUNCTION("IMPORTRANGE(""https://docs.google.com/spreadsheets/d/1C3CXT74ZlgGe6_JY_1olB1XN4rF0dxEuIIF-xsYjHgg/edit?usp=sharing"",""งบกองทุน!ai71"")"),24)</f>
        <v>24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IFERROR(__xludf.DUMMYFUNCTION("IMPORTRANGE(""https://docs.google.com/spreadsheets/d/1C3CXT74ZlgGe6_JY_1olB1XN4rF0dxEuIIF-xsYjHgg/edit?usp=sharing"",""งบกองทุน!ah71"")"),72)</f>
        <v>72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IFERROR(__xludf.DUMMYFUNCTION("IMPORTRANGE(""https://docs.google.com/spreadsheets/d/1C3CXT74ZlgGe6_JY_1olB1XN4rF0dxEuIIF-xsYjHgg/edit?usp=sharing"",""งบกองทุน!aj71"")"),24)</f>
        <v>24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IFERROR(__xludf.DUMMYFUNCTION("IMPORTRANGE(""https://docs.google.com/spreadsheets/d/1C3CXT74ZlgGe6_JY_1olB1XN4rF0dxEuIIF-xsYjHgg/edit?usp=sharing"",""งบกองทุน!ak71"")"),24)</f>
        <v>24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IFERROR(__xludf.DUMMYFUNCTION("IMPORTRANGE(""https://docs.google.com/spreadsheets/d/1C3CXT74ZlgGe6_JY_1olB1XN4rF0dxEuIIF-xsYjHgg/edit?usp=sharing"",""งบกองทุน!al71"")"),24)</f>
        <v>24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IFERROR(__xludf.DUMMYFUNCTION("IMPORTRANGE(""https://docs.google.com/spreadsheets/d/1C3CXT74ZlgGe6_JY_1olB1XN4rF0dxEuIIF-xsYjHgg/edit?usp=sharing"",""งบกองทุน!an71"")"),11)</f>
        <v>11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IFERROR(__xludf.DUMMYFUNCTION("IMPORTRANGE(""https://docs.google.com/spreadsheets/d/1C3CXT74ZlgGe6_JY_1olB1XN4rF0dxEuIIF-xsYjHgg/edit?usp=sharing"",""งบกองทุน!am71"")"),33)</f>
        <v>33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IFERROR(__xludf.DUMMYFUNCTION("IMPORTRANGE(""https://docs.google.com/spreadsheets/d/1C3CXT74ZlgGe6_JY_1olB1XN4rF0dxEuIIF-xsYjHgg/edit?usp=sharing"",""งบกองทุน!ao71"")"),11)</f>
        <v>11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IFERROR(__xludf.DUMMYFUNCTION("IMPORTRANGE(""https://docs.google.com/spreadsheets/d/1C3CXT74ZlgGe6_JY_1olB1XN4rF0dxEuIIF-xsYjHgg/edit?usp=sharing"",""งบกองทุน!ap71"")"),11)</f>
        <v>11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49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IFERROR(__xludf.DUMMYFUNCTION("IMPORTRANGE(""https://docs.google.com/spreadsheets/d/1C3CXT74ZlgGe6_JY_1olB1XN4rF0dxEuIIF-xsYjHgg/edit?usp=sharing"",""งบกองทุน!ar71"")"),25)</f>
        <v>25</v>
      </c>
      <c r="J326" s="67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IFERROR(__xludf.DUMMYFUNCTION("IMPORTRANGE(""https://docs.google.com/spreadsheets/d/1C3CXT74ZlgGe6_JY_1olB1XN4rF0dxEuIIF-xsYjHgg/edit?usp=sharing"",""งบกองทุน!as71"")"),24)</f>
        <v>24</v>
      </c>
      <c r="J327" s="67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50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161400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161400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IFERROR(__xludf.DUMMYFUNCTION("IMPORTRANGE(""https://docs.google.com/spreadsheets/d/1C3CXT74ZlgGe6_JY_1olB1XN4rF0dxEuIIF-xsYjHgg/edit?usp=sharing"",""งบกองทุน!au71"")"),0)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IFERROR(__xludf.DUMMYFUNCTION("IMPORTRANGE(""https://docs.google.com/spreadsheets/d/1C3CXT74ZlgGe6_JY_1olB1XN4rF0dxEuIIF-xsYjHgg/edit?usp=sharing"",""งบกองทุน!av71"")"),161400)</f>
        <v>161400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50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IFERROR(__xludf.DUMMYFUNCTION("IMPORTRANGE(""https://docs.google.com/spreadsheets/d/1C3CXT74ZlgGe6_JY_1olB1XN4rF0dxEuIIF-xsYjHgg/edit?usp=sharing"",""งบกองทุน!ay71"")"),50)</f>
        <v>50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IFERROR(__xludf.DUMMYFUNCTION("IMPORTRANGE(""https://docs.google.com/spreadsheets/d/1C3CXT74ZlgGe6_JY_1olB1XN4rF0dxEuIIF-xsYjHgg/edit?usp=sharing"",""งบกองทุน!az71"")"),0)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IFERROR(__xludf.DUMMYFUNCTION("IMPORTRANGE(""https://docs.google.com/spreadsheets/d/1C3CXT74ZlgGe6_JY_1olB1XN4rF0dxEuIIF-xsYjHgg/edit?usp=sharing"",""งบกองทุน!Ba71"")"),0)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2218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95347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95347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IFERROR(__xludf.DUMMYFUNCTION("IMPORTRANGE(""https://docs.google.com/spreadsheets/d/1C3CXT74ZlgGe6_JY_1olB1XN4rF0dxEuIIF-xsYjHgg/edit?usp=sharing"",""งบกองทุน!Bc71"")"),0)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IFERROR(__xludf.DUMMYFUNCTION("IMPORTRANGE(""https://docs.google.com/spreadsheets/d/1C3CXT74ZlgGe6_JY_1olB1XN4rF0dxEuIIF-xsYjHgg/edit?usp=sharing"",""งบกองทุน!Bd71"")"),95347)</f>
        <v>95347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IFERROR(__xludf.DUMMYFUNCTION("IMPORTRANGE(""https://docs.google.com/spreadsheets/d/1C3CXT74ZlgGe6_JY_1olB1XN4rF0dxEuIIF-xsYjHgg/edit?usp=sharing"",""งบกองทุน!BE71"")"),2218)</f>
        <v>2218</v>
      </c>
      <c r="J359" s="136">
        <f>+J376</f>
        <v>0</v>
      </c>
      <c r="K359" s="137">
        <f t="shared" ref="K359:K408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IFERROR(__xludf.DUMMYFUNCTION("IMPORTRANGE(""https://docs.google.com/spreadsheets/d/1C3CXT74ZlgGe6_JY_1olB1XN4rF0dxEuIIF-xsYjHgg/edit?usp=sharing"",""งบกองทุน!BE71"")"),2218)</f>
        <v>2218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IFERROR(__xludf.DUMMYFUNCTION("IMPORTRANGE(""https://docs.google.com/spreadsheets/d/1C3CXT74ZlgGe6_JY_1olB1XN4rF0dxEuIIF-xsYjHgg/edit?usp=sharing"",""งบกองทุน!Bf71"")"),311)</f>
        <v>311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2218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265">
        <f ca="1">I361</f>
        <v>311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2218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265">
        <f ca="1">I361</f>
        <v>311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IFERROR(__xludf.DUMMYFUNCTION("IMPORTRANGE(""https://docs.google.com/spreadsheets/d/1C3CXT74ZlgGe6_JY_1olB1XN4rF0dxEuIIF-xsYjHgg/edit?usp=sharing"",""งบกองทุน!cd71"")"),500)</f>
        <v>500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IFERROR(__xludf.DUMMYFUNCTION("IMPORTRANGE(""https://docs.google.com/spreadsheets/d/1C3CXT74ZlgGe6_JY_1olB1XN4rF0dxEuIIF-xsYjHgg/edit?usp=sharing"",""งบกองทุน!cd71"")"),500)</f>
        <v>500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IFERROR(__xludf.DUMMYFUNCTION("IMPORTRANGE(""https://docs.google.com/spreadsheets/d/1C3CXT74ZlgGe6_JY_1olB1XN4rF0dxEuIIF-xsYjHgg/edit?usp=sharing"",""งบกองทุน!cc71"")"),93)</f>
        <v>93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IFERROR(__xludf.DUMMYFUNCTION("IMPORTRANGE(""https://docs.google.com/spreadsheets/d/1C3CXT74ZlgGe6_JY_1olB1XN4rF0dxEuIIF-xsYjHgg/edit?usp=sharing"",""งบกองทุน!cz71"")"),0)</f>
        <v>0</v>
      </c>
      <c r="J409" s="136">
        <v>0</v>
      </c>
      <c r="K409" s="137"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IFERROR(__xludf.DUMMYFUNCTION("IMPORTRANGE(""https://docs.google.com/spreadsheets/d/1C3CXT74ZlgGe6_JY_1olB1XN4rF0dxEuIIF-xsYjHgg/edit?usp=sharing"",""งบกองทุน!cz71"")"),0)</f>
        <v>0</v>
      </c>
      <c r="J410" s="149">
        <v>0</v>
      </c>
      <c r="K410" s="146"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IFERROR(__xludf.DUMMYFUNCTION("IMPORTRANGE(""https://docs.google.com/spreadsheets/d/1C3CXT74ZlgGe6_JY_1olB1XN4rF0dxEuIIF-xsYjHgg/edit?usp=sharing"",""งบกองทุน!cy71"")"),0)</f>
        <v>0</v>
      </c>
      <c r="J411" s="149">
        <v>0</v>
      </c>
      <c r="K411" s="146"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IFERROR(__xludf.DUMMYFUNCTION("IMPORTRANGE(""https://docs.google.com/spreadsheets/d/1C3CXT74ZlgGe6_JY_1olB1XN4rF0dxEuIIF-xsYjHgg/edit?usp=sharing"",""งบกองทุน!db71"")"),0)</f>
        <v>0</v>
      </c>
      <c r="K412" s="48"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IFERROR(__xludf.DUMMYFUNCTION("IMPORTRANGE(""https://docs.google.com/spreadsheets/d/1C3CXT74ZlgGe6_JY_1olB1XN4rF0dxEuIIF-xsYjHgg/edit?usp=sharing"",""งบกองทุน!da71"")"),0)</f>
        <v>0</v>
      </c>
      <c r="K413" s="48"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IFERROR(__xludf.DUMMYFUNCTION("IMPORTRANGE(""https://docs.google.com/spreadsheets/d/1C3CXT74ZlgGe6_JY_1olB1XN4rF0dxEuIIF-xsYjHgg/edit?usp=sharing"",""งบกองทุน!dd71"")"),0)</f>
        <v>0</v>
      </c>
      <c r="K414" s="48"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IFERROR(__xludf.DUMMYFUNCTION("IMPORTRANGE(""https://docs.google.com/spreadsheets/d/1C3CXT74ZlgGe6_JY_1olB1XN4rF0dxEuIIF-xsYjHgg/edit?usp=sharing"",""งบกองทุน!dc71"")"),0)</f>
        <v>0</v>
      </c>
      <c r="K415" s="48"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IFERROR(__xludf.DUMMYFUNCTION("IMPORTRANGE(""https://docs.google.com/spreadsheets/d/1C3CXT74ZlgGe6_JY_1olB1XN4rF0dxEuIIF-xsYjHgg/edit?usp=sharing"",""งบกองทุน!df71"")"),0)</f>
        <v>0</v>
      </c>
      <c r="K416" s="48"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IFERROR(__xludf.DUMMYFUNCTION("IMPORTRANGE(""https://docs.google.com/spreadsheets/d/1C3CXT74ZlgGe6_JY_1olB1XN4rF0dxEuIIF-xsYjHgg/edit?usp=sharing"",""งบกองทุน!de71"")"),0)</f>
        <v>0</v>
      </c>
      <c r="K417" s="48"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4">
        <v>0</v>
      </c>
      <c r="J425" s="300">
        <v>0</v>
      </c>
      <c r="K425" s="301"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22</v>
      </c>
      <c r="J426" s="257">
        <f t="shared" si="91"/>
        <v>1</v>
      </c>
      <c r="K426" s="258">
        <f ca="1">IF(I426&gt;0,J426*100/I426,0)</f>
        <v>4.5454545454545459</v>
      </c>
      <c r="L426" s="259">
        <f t="shared" ref="L426:M426" ca="1" si="92">SUM(L427:L428)</f>
        <v>34340</v>
      </c>
      <c r="M426" s="259">
        <f t="shared" si="92"/>
        <v>0</v>
      </c>
      <c r="N426" s="259">
        <f t="shared" ref="N426:N430" ca="1" si="93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34340</v>
      </c>
      <c r="M428" s="52">
        <f t="shared" si="94"/>
        <v>0</v>
      </c>
      <c r="N428" s="52">
        <f t="shared" ca="1" si="93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IFERROR(__xludf.DUMMYFUNCTION("IMPORTRANGE(""https://docs.google.com/spreadsheets/d/1C3CXT74ZlgGe6_JY_1olB1XN4rF0dxEuIIF-xsYjHgg/edit?usp=sharing"",""งบกองทุน!dn71"")"),0)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IFERROR(__xludf.DUMMYFUNCTION("IMPORTRANGE(""https://docs.google.com/spreadsheets/d/1C3CXT74ZlgGe6_JY_1olB1XN4rF0dxEuIIF-xsYjHgg/edit?usp=sharing"",""งบกองทุน!do71"")"),34340)</f>
        <v>34340</v>
      </c>
      <c r="M430" s="52">
        <f>SUM(M431:M434)</f>
        <v>0</v>
      </c>
      <c r="N430" s="52">
        <f t="shared" ca="1" si="93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1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IFERROR(__xludf.DUMMYFUNCTION("IMPORTRANGE(""https://docs.google.com/spreadsheets/d/1C3CXT74ZlgGe6_JY_1olB1XN4rF0dxEuIIF-xsYjHgg/edit?usp=sharing"",""งบกองทุน!dq71"")"),22)</f>
        <v>22</v>
      </c>
      <c r="J440" s="67">
        <v>1</v>
      </c>
      <c r="K440" s="48">
        <f t="shared" ref="K440:K441" ca="1" si="95">IF(I440&gt;0,J440*100/I440,0)</f>
        <v>4.5454545454545459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IFERROR(__xludf.DUMMYFUNCTION("IMPORTRANGE(""https://docs.google.com/spreadsheets/d/1C3CXT74ZlgGe6_JY_1olB1XN4rF0dxEuIIF-xsYjHgg/edit?usp=sharing"",""งบกองทุน!dr71"")"),22)</f>
        <v>22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IFERROR(__xludf.DUMMYFUNCTION("IMPORTRANGE(""https://docs.google.com/spreadsheets/d/1C3CXT74ZlgGe6_JY_1olB1XN4rF0dxEuIIF-xsYjHgg/edit?usp=sharing"",""งบกองทุน!dt71"")"),0)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IFERROR(__xludf.DUMMYFUNCTION("IMPORTRANGE(""https://docs.google.com/spreadsheets/d/1C3CXT74ZlgGe6_JY_1olB1XN4rF0dxEuIIF-xsYjHgg/edit?usp=sharing"",""งบกองทุน!du71"")"),0)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IFERROR(__xludf.DUMMYFUNCTION("IMPORTRANGE(""https://docs.google.com/spreadsheets/d/1C3CXT74ZlgGe6_JY_1olB1XN4rF0dxEuIIF-xsYjHgg/edit?usp=sharing"",""งบกองทุน!dw71"")"),0)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IFERROR(__xludf.DUMMYFUNCTION("IMPORTRANGE(""https://docs.google.com/spreadsheets/d/1C3CXT74ZlgGe6_JY_1olB1XN4rF0dxEuIIF-xsYjHgg/edit?usp=sharing"",""งบกองทุน!dx71"")"),0)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IFERROR(__xludf.DUMMYFUNCTION("IMPORTRANGE(""https://docs.google.com/spreadsheets/d/1C3CXT74ZlgGe6_JY_1olB1XN4rF0dxEuIIF-xsYjHgg/edit?usp=sharing"",""งบกองทุน!dy71"")"),0)</f>
        <v>0</v>
      </c>
      <c r="J455" s="66">
        <v>0</v>
      </c>
      <c r="K455" s="232">
        <f t="shared" ca="1" si="100"/>
        <v>0</v>
      </c>
      <c r="L455" s="52"/>
      <c r="M455" s="52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IFERROR(__xludf.DUMMYFUNCTION("IMPORTRANGE(""https://docs.google.com/spreadsheets/d/1C3CXT74ZlgGe6_JY_1olB1XN4rF0dxEuIIF-xsYjHgg/edit?usp=sharing"",""งบกองทุน!dz71"")"),0)</f>
        <v>0</v>
      </c>
      <c r="J456" s="66">
        <v>0</v>
      </c>
      <c r="K456" s="48">
        <f t="shared" ca="1" si="100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150</v>
      </c>
      <c r="J457" s="226">
        <f>+J466</f>
        <v>34</v>
      </c>
      <c r="K457" s="227">
        <f t="shared" ca="1" si="100"/>
        <v>22.666666666666668</v>
      </c>
      <c r="L457" s="228">
        <f t="shared" ref="L457:M457" ca="1" si="101">SUM(L458:L459)</f>
        <v>122400</v>
      </c>
      <c r="M457" s="228">
        <f t="shared" si="101"/>
        <v>0</v>
      </c>
      <c r="N457" s="228">
        <f t="shared" ref="N457:N461" ca="1" si="102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122400</v>
      </c>
      <c r="M459" s="52">
        <f t="shared" si="103"/>
        <v>0</v>
      </c>
      <c r="N459" s="52">
        <f t="shared" ca="1" si="102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IFERROR(__xludf.DUMMYFUNCTION("IMPORTRANGE(""https://docs.google.com/spreadsheets/d/1C3CXT74ZlgGe6_JY_1olB1XN4rF0dxEuIIF-xsYjHgg/edit?usp=sharing"",""งบกองทุน!Eb71"")"),0)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IFERROR(__xludf.DUMMYFUNCTION("IMPORTRANGE(""https://docs.google.com/spreadsheets/d/1C3CXT74ZlgGe6_JY_1olB1XN4rF0dxEuIIF-xsYjHgg/edit?usp=sharing"",""งบกองทุน!Ec71"")"),122400)</f>
        <v>122400</v>
      </c>
      <c r="M461" s="52">
        <f>SUM(M462:M465)</f>
        <v>0</v>
      </c>
      <c r="N461" s="52">
        <f t="shared" ca="1" si="102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IFERROR(__xludf.DUMMYFUNCTION("IMPORTRANGE(""https://docs.google.com/spreadsheets/d/1C3CXT74ZlgGe6_JY_1olB1XN4rF0dxEuIIF-xsYjHgg/edit?usp=sharing"",""งบกองทุน!Ed71"")"),150)</f>
        <v>150</v>
      </c>
      <c r="J466" s="265">
        <f>+J469+J470+J471+J472</f>
        <v>34</v>
      </c>
      <c r="K466" s="79">
        <f ca="1">IF(I466&gt;0,J466*100/I466,0)</f>
        <v>22.666666666666668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34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0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IFERROR(__xludf.DUMMYFUNCTION("IMPORTRANGE(""https://docs.google.com/spreadsheets/d/1C3CXT74ZlgGe6_JY_1olB1XN4rF0dxEuIIF-xsYjHgg/edit?usp=sharing"",""งบกองทุน!Ek71"")"),0)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IFERROR(__xludf.DUMMYFUNCTION("IMPORTRANGE(""https://docs.google.com/spreadsheets/d/1C3CXT74ZlgGe6_JY_1olB1XN4rF0dxEuIIF-xsYjHgg/edit?usp=sharing"",""งบกองทุน!El71"")"),0)</f>
        <v>0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IFERROR(__xludf.DUMMYFUNCTION("IMPORTRANGE(""https://docs.google.com/spreadsheets/d/1C3CXT74ZlgGe6_JY_1olB1XN4rF0dxEuIIF-xsYjHgg/edit?usp=sharing"",""งบกองทุน!Em71"")"),0)</f>
        <v>0</v>
      </c>
      <c r="J482" s="66">
        <f ca="1">IFERROR(__xludf.DUMMYFUNCTION("IMPORTRANGE(""https://docs.google.com/spreadsheets/d/1AGHcLOeeYFL3K4b9R1dSzyJy00PE_ra89DNTVfnxSWM/edit?usp=sharing"",""รวมที่ชุมชน!G60"")"),0)</f>
        <v>0</v>
      </c>
      <c r="K482" s="48">
        <f t="shared" ref="K482:K489" ca="1" si="107">IF(I482&gt;0,J482*100/I482,0)</f>
        <v>0</v>
      </c>
      <c r="L482" s="60"/>
      <c r="M482" s="52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IFERROR(__xludf.DUMMYFUNCTION("IMPORTRANGE(""https://docs.google.com/spreadsheets/d/1C3CXT74ZlgGe6_JY_1olB1XN4rF0dxEuIIF-xsYjHgg/edit?usp=sharing"",""งบกองทุน!En71"")"),0)</f>
        <v>0</v>
      </c>
      <c r="J483" s="66">
        <f ca="1">IFERROR(__xludf.DUMMYFUNCTION("IMPORTRANGE(""https://docs.google.com/spreadsheets/d/1AGHcLOeeYFL3K4b9R1dSzyJy00PE_ra89DNTVfnxSWM/edit?usp=sharing"",""รวมที่ชุมชน!H60"")"),0)</f>
        <v>0</v>
      </c>
      <c r="K483" s="200">
        <f t="shared" ca="1" si="107"/>
        <v>0</v>
      </c>
      <c r="L483" s="60"/>
      <c r="M483" s="52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IFERROR(__xludf.DUMMYFUNCTION("IMPORTRANGE(""https://docs.google.com/spreadsheets/d/1C3CXT74ZlgGe6_JY_1olB1XN4rF0dxEuIIF-xsYjHgg/edit?usp=sharing"",""งบกองทุน!Eo71"")"),0)</f>
        <v>0</v>
      </c>
      <c r="J484" s="66">
        <f ca="1">IFERROR(__xludf.DUMMYFUNCTION("IMPORTRANGE(""https://docs.google.com/spreadsheets/d/1AGHcLOeeYFL3K4b9R1dSzyJy00PE_ra89DNTVfnxSWM/edit?usp=sharing"",""รวมที่ชุมชน!J60"")"),0)</f>
        <v>0</v>
      </c>
      <c r="K484" s="48">
        <f t="shared" ca="1" si="107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IFERROR(__xludf.DUMMYFUNCTION("IMPORTRANGE(""https://docs.google.com/spreadsheets/d/1C3CXT74ZlgGe6_JY_1olB1XN4rF0dxEuIIF-xsYjHgg/edit?usp=sharing"",""งบกองทุน!Ep71"")"),0)</f>
        <v>0</v>
      </c>
      <c r="J485" s="66">
        <f ca="1">IFERROR(__xludf.DUMMYFUNCTION("IMPORTRANGE(""https://docs.google.com/spreadsheets/d/1AGHcLOeeYFL3K4b9R1dSzyJy00PE_ra89DNTVfnxSWM/edit?usp=sharing"",""รวมที่ชุมชน!L60"")"),0)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IFERROR(__xludf.DUMMYFUNCTION("IMPORTRANGE(""https://docs.google.com/spreadsheets/d/1C3CXT74ZlgGe6_JY_1olB1XN4rF0dxEuIIF-xsYjHgg/edit?usp=sharing"",""งบกองทุน!Eq71"")"),0)</f>
        <v>0</v>
      </c>
      <c r="J486" s="66">
        <f ca="1">IFERROR(__xludf.DUMMYFUNCTION("IMPORTRANGE(""https://docs.google.com/spreadsheets/d/1AGHcLOeeYFL3K4b9R1dSzyJy00PE_ra89DNTVfnxSWM/edit?usp=sharing"",""รวมที่ชุมชน!S60"")"),0)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IFERROR(__xludf.DUMMYFUNCTION("IMPORTRANGE(""https://docs.google.com/spreadsheets/d/1C3CXT74ZlgGe6_JY_1olB1XN4rF0dxEuIIF-xsYjHgg/edit?usp=sharing"",""งบกองทุน!Er71"")"),0)</f>
        <v>0</v>
      </c>
      <c r="J487" s="66">
        <f ca="1">IFERROR(__xludf.DUMMYFUNCTION("IMPORTRANGE(""https://docs.google.com/spreadsheets/d/1AGHcLOeeYFL3K4b9R1dSzyJy00PE_ra89DNTVfnxSWM/edit?usp=sharing"",""รวมที่ชุมชน!U60"")"),0)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IFERROR(__xludf.DUMMYFUNCTION("IMPORTRANGE(""https://docs.google.com/spreadsheets/d/1C3CXT74ZlgGe6_JY_1olB1XN4rF0dxEuIIF-xsYjHgg/edit?usp=sharing"",""งบกองทุน!Es71"")"),0)</f>
        <v>0</v>
      </c>
      <c r="J488" s="66">
        <f ca="1">IFERROR(__xludf.DUMMYFUNCTION("IMPORTRANGE(""https://docs.google.com/spreadsheets/d/1AGHcLOeeYFL3K4b9R1dSzyJy00PE_ra89DNTVfnxSWM/edit?usp=sharing"",""รวมที่ชุมชน!V60"")"),0)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IFERROR(__xludf.DUMMYFUNCTION("IMPORTRANGE(""https://docs.google.com/spreadsheets/d/1C3CXT74ZlgGe6_JY_1olB1XN4rF0dxEuIIF-xsYjHgg/edit?usp=sharing"",""งบกองทุน!Et71"")"),0)</f>
        <v>0</v>
      </c>
      <c r="J489" s="111">
        <f ca="1">IFERROR(__xludf.DUMMYFUNCTION("IMPORTRANGE(""https://docs.google.com/spreadsheets/d/1AGHcLOeeYFL3K4b9R1dSzyJy00PE_ra89DNTVfnxSWM/edit?usp=sharing"",""รวมที่ชุมชน!X60"")"),0)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50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4550</v>
      </c>
      <c r="M490" s="259">
        <f>SUM(M491:M492)</f>
        <v>0</v>
      </c>
      <c r="N490" s="259">
        <f t="shared" ref="N490:N494" ca="1" si="109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4550</v>
      </c>
      <c r="M492" s="52">
        <f t="shared" si="110"/>
        <v>0</v>
      </c>
      <c r="N492" s="52">
        <f t="shared" ca="1" si="109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IFERROR(__xludf.DUMMYFUNCTION("IMPORTRANGE(""https://docs.google.com/spreadsheets/d/1C3CXT74ZlgGe6_JY_1olB1XN4rF0dxEuIIF-xsYjHgg/edit?usp=sharing"",""งบกองทุน!Ev71"")"),0)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IFERROR(__xludf.DUMMYFUNCTION("IMPORTRANGE(""https://docs.google.com/spreadsheets/d/1C3CXT74ZlgGe6_JY_1olB1XN4rF0dxEuIIF-xsYjHgg/edit?usp=sharing"",""งบกองทุน!Ew71"")"),4550)</f>
        <v>4550</v>
      </c>
      <c r="M494" s="52">
        <f>SUM(M495:M498)</f>
        <v>0</v>
      </c>
      <c r="N494" s="52">
        <f t="shared" ca="1" si="109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1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IFERROR(__xludf.DUMMYFUNCTION("IMPORTRANGE(""https://docs.google.com/spreadsheets/d/1C3CXT74ZlgGe6_JY_1olB1XN4rF0dxEuIIF-xsYjHgg/edit?usp=sharing"",""งบกองทุน!EZ71"")"),50)</f>
        <v>50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IFERROR(__xludf.DUMMYFUNCTION("IMPORTRANGE(""https://docs.google.com/spreadsheets/d/1C3CXT74ZlgGe6_JY_1olB1XN4rF0dxEuIIF-xsYjHgg/edit?usp=sharing"",""งบกองทุน!ff71"")"),0)</f>
        <v>0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IFERROR(__xludf.DUMMYFUNCTION("IMPORTRANGE(""https://docs.google.com/spreadsheets/d/1muirlRDkqiswvy_NRZ3Yh955hx-PF6_HhssUYiSJj8o/edit?usp=sharing"",""กองทุน!D71"")"),1148779.43)</f>
        <v>1148779.43</v>
      </c>
      <c r="J521" s="199">
        <f ca="1">IFERROR(__xludf.DUMMYFUNCTION("IMPORTRANGE(""https://docs.google.com/spreadsheets/d/1muirlRDkqiswvy_NRZ3Yh955hx-PF6_HhssUYiSJj8o/edit?usp=sharing"",""กองทุน!F71"")"),0)</f>
        <v>0</v>
      </c>
      <c r="K521" s="200">
        <f t="shared" ref="K521:K528" ca="1" si="116">IF(I521&gt;0,J521*100/I521,0)</f>
        <v>0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IFERROR(__xludf.DUMMYFUNCTION("IMPORTRANGE(""https://docs.google.com/spreadsheets/d/1muirlRDkqiswvy_NRZ3Yh955hx-PF6_HhssUYiSJj8o/edit?usp=sharing"",""กองทุน!C71"")"),86)</f>
        <v>86</v>
      </c>
      <c r="J522" s="199">
        <f ca="1">IFERROR(__xludf.DUMMYFUNCTION("IMPORTRANGE(""https://docs.google.com/spreadsheets/d/1muirlRDkqiswvy_NRZ3Yh955hx-PF6_HhssUYiSJj8o/edit?usp=sharing"",""กองทุน!E71"")"),0)</f>
        <v>0</v>
      </c>
      <c r="K522" s="200">
        <f t="shared" ca="1" si="116"/>
        <v>0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IFERROR(__xludf.DUMMYFUNCTION("IMPORTRANGE(""https://docs.google.com/spreadsheets/d/1muirlRDkqiswvy_NRZ3Yh955hx-PF6_HhssUYiSJj8o/edit?usp=sharing"",""กองทุน!I71"")"),486349.02)</f>
        <v>486349.02</v>
      </c>
      <c r="J523" s="199">
        <f ca="1">IFERROR(__xludf.DUMMYFUNCTION("IMPORTRANGE(""https://docs.google.com/spreadsheets/d/1muirlRDkqiswvy_NRZ3Yh955hx-PF6_HhssUYiSJj8o/edit?usp=sharing"",""กองทุน!K71"")"),0)</f>
        <v>0</v>
      </c>
      <c r="K523" s="200">
        <f t="shared" ca="1" si="116"/>
        <v>0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IFERROR(__xludf.DUMMYFUNCTION("IMPORTRANGE(""https://docs.google.com/spreadsheets/d/1muirlRDkqiswvy_NRZ3Yh955hx-PF6_HhssUYiSJj8o/edit?usp=sharing"",""กองทุน!H71"")"),21)</f>
        <v>21</v>
      </c>
      <c r="J524" s="199">
        <f ca="1">IFERROR(__xludf.DUMMYFUNCTION("IMPORTRANGE(""https://docs.google.com/spreadsheets/d/1muirlRDkqiswvy_NRZ3Yh955hx-PF6_HhssUYiSJj8o/edit?usp=sharing"",""กองทุน!J71"")"),0)</f>
        <v>0</v>
      </c>
      <c r="K524" s="200">
        <f t="shared" ca="1" si="116"/>
        <v>0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IFERROR(__xludf.DUMMYFUNCTION("IMPORTRANGE(""https://docs.google.com/spreadsheets/d/1muirlRDkqiswvy_NRZ3Yh955hx-PF6_HhssUYiSJj8o/edit?usp=sharing"",""กองทุน!N71"")"),1118.75)</f>
        <v>1118.75</v>
      </c>
      <c r="J525" s="199">
        <f ca="1">IFERROR(__xludf.DUMMYFUNCTION("IMPORTRANGE(""https://docs.google.com/spreadsheets/d/1muirlRDkqiswvy_NRZ3Yh955hx-PF6_HhssUYiSJj8o/edit?usp=sharing"",""กองทุน!P71"")"),26230.3)</f>
        <v>26230.3</v>
      </c>
      <c r="K525" s="200">
        <f t="shared" ca="1" si="116"/>
        <v>2344.6078212290504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IFERROR(__xludf.DUMMYFUNCTION("IMPORTRANGE(""https://docs.google.com/spreadsheets/d/1muirlRDkqiswvy_NRZ3Yh955hx-PF6_HhssUYiSJj8o/edit?usp=sharing"",""กองทุน!M71"")"),1)</f>
        <v>1</v>
      </c>
      <c r="J526" s="199">
        <f ca="1">IFERROR(__xludf.DUMMYFUNCTION("IMPORTRANGE(""https://docs.google.com/spreadsheets/d/1muirlRDkqiswvy_NRZ3Yh955hx-PF6_HhssUYiSJj8o/edit?usp=sharing"",""กองทุน!O71"")"),2)</f>
        <v>2</v>
      </c>
      <c r="K526" s="200">
        <f t="shared" ca="1" si="116"/>
        <v>200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IFERROR(__xludf.DUMMYFUNCTION("IMPORTRANGE(""https://docs.google.com/spreadsheets/d/1muirlRDkqiswvy_NRZ3Yh955hx-PF6_HhssUYiSJj8o/edit?usp=sharing"",""กองทุน!S71"")"),1200000)</f>
        <v>1200000</v>
      </c>
      <c r="J527" s="199">
        <f ca="1">IFERROR(__xludf.DUMMYFUNCTION("IMPORTRANGE(""https://docs.google.com/spreadsheets/d/1muirlRDkqiswvy_NRZ3Yh955hx-PF6_HhssUYiSJj8o/edit?usp=sharing"",""กองทุน!U71"")"),0)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IFERROR(__xludf.DUMMYFUNCTION("IMPORTRANGE(""https://docs.google.com/spreadsheets/d/1muirlRDkqiswvy_NRZ3Yh955hx-PF6_HhssUYiSJj8o/edit?usp=sharing"",""กองทุน!R71"")"),27)</f>
        <v>27</v>
      </c>
      <c r="J528" s="324">
        <f ca="1">IFERROR(__xludf.DUMMYFUNCTION("IMPORTRANGE(""https://docs.google.com/spreadsheets/d/1muirlRDkqiswvy_NRZ3Yh955hx-PF6_HhssUYiSJj8o/edit?usp=sharing"",""กองทุน!T71"")"),0)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A5" sqref="A5:G5"/>
      <selection pane="bottomLeft" activeCell="A5" sqref="A5:G5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68" t="s">
        <v>0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</row>
    <row r="2" spans="1:14" ht="18" customHeight="1" x14ac:dyDescent="0.55000000000000004">
      <c r="A2" s="368" t="s">
        <v>237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</row>
    <row r="3" spans="1:14" ht="18" customHeight="1" x14ac:dyDescent="0.55000000000000004">
      <c r="A3" s="368" t="s">
        <v>247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70" t="s">
        <v>4</v>
      </c>
      <c r="B5" s="371"/>
      <c r="C5" s="371"/>
      <c r="D5" s="371"/>
      <c r="E5" s="371"/>
      <c r="F5" s="371"/>
      <c r="G5" s="372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1255245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IFERROR(__xludf.DUMMYFUNCTION("IMPORTRANGE(""https://docs.google.com/spreadsheets/d/1C3CXT74ZlgGe6_JY_1olB1XN4rF0dxEuIIF-xsYjHgg/edit?usp=sharing"",""พรบ!C72"")"),0)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66"/>
      <c r="K13" s="232"/>
      <c r="L13" s="52">
        <f ca="1">IFERROR(__xludf.DUMMYFUNCTION("IMPORTRANGE(""https://docs.google.com/spreadsheets/d/1C3CXT74ZlgGe6_JY_1olB1XN4rF0dxEuIIF-xsYjHgg/edit?usp=sharing"",""พรบ!D72"")"),0)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66"/>
      <c r="K14" s="232"/>
      <c r="L14" s="52">
        <f ca="1">IFERROR(__xludf.DUMMYFUNCTION("IMPORTRANGE(""https://docs.google.com/spreadsheets/d/1C3CXT74ZlgGe6_JY_1olB1XN4rF0dxEuIIF-xsYjHgg/edit?usp=sharing"",""พรบ!E72"")"),0)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28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IFERROR(__xludf.DUMMYFUNCTION("IMPORTRANGE(""https://docs.google.com/spreadsheets/d/1C3CXT74ZlgGe6_JY_1olB1XN4rF0dxEuIIF-xsYjHgg/edit?usp=sharing"",""พรบ!H72"")"),0)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IFERROR(__xludf.DUMMYFUNCTION("IMPORTRANGE(""https://docs.google.com/spreadsheets/d/1C3CXT74ZlgGe6_JY_1olB1XN4rF0dxEuIIF-xsYjHgg/edit?usp=sharing"",""พรบ!I72"")"),0)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IFERROR(__xludf.DUMMYFUNCTION("IMPORTRANGE(""https://docs.google.com/spreadsheets/d/1C3CXT74ZlgGe6_JY_1olB1XN4rF0dxEuIIF-xsYjHgg/edit?usp=sharing"",""พรบ!J72"")"),0)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IFERROR(__xludf.DUMMYFUNCTION("IMPORTRANGE(""https://docs.google.com/spreadsheets/d/1C3CXT74ZlgGe6_JY_1olB1XN4rF0dxEuIIF-xsYjHgg/edit?usp=sharing"",""พรบ!K72"")"),0)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IFERROR(__xludf.DUMMYFUNCTION("IMPORTRANGE(""https://docs.google.com/spreadsheets/d/1C3CXT74ZlgGe6_JY_1olB1XN4rF0dxEuIIF-xsYjHgg/edit?usp=sharing"",""พรบ!L72"")"),0)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IFERROR(__xludf.DUMMYFUNCTION("IMPORTRANGE(""https://docs.google.com/spreadsheets/d/1C3CXT74ZlgGe6_JY_1olB1XN4rF0dxEuIIF-xsYjHgg/edit?usp=sharing"",""พรบ!M72"")"),0)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IFERROR(__xludf.DUMMYFUNCTION("IMPORTRANGE(""https://docs.google.com/spreadsheets/d/1C3CXT74ZlgGe6_JY_1olB1XN4rF0dxEuIIF-xsYjHgg/edit?usp=sharing"",""พรบ!N72"")"),0)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6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IFERROR(__xludf.DUMMYFUNCTION("IMPORTRANGE(""https://docs.google.com/spreadsheets/d/1C3CXT74ZlgGe6_JY_1olB1XN4rF0dxEuIIF-xsYjHgg/edit?usp=sharing"",""พรบ!O72"")"),0)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66"/>
      <c r="K36" s="232"/>
      <c r="L36" s="52">
        <f ca="1">IFERROR(__xludf.DUMMYFUNCTION("IMPORTRANGE(""https://docs.google.com/spreadsheets/d/1C3CXT74ZlgGe6_JY_1olB1XN4rF0dxEuIIF-xsYjHgg/edit?usp=sharing"",""พรบ!P72"")"),0)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IFERROR(__xludf.DUMMYFUNCTION("IMPORTRANGE(""https://docs.google.com/spreadsheets/d/1C3CXT74ZlgGe6_JY_1olB1XN4rF0dxEuIIF-xsYjHgg/edit?usp=sharing"",""พรบ!Q72"")"),0)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IFERROR(__xludf.DUMMYFUNCTION("IMPORTRANGE(""https://docs.google.com/spreadsheets/d/1C3CXT74ZlgGe6_JY_1olB1XN4rF0dxEuIIF-xsYjHgg/edit?usp=sharing"",""พรบ!R72"")"),0)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IFERROR(__xludf.DUMMYFUNCTION("IMPORTRANGE(""https://docs.google.com/spreadsheets/d/1C3CXT74ZlgGe6_JY_1olB1XN4rF0dxEuIIF-xsYjHgg/edit?usp=sharing"",""พรบ!S72"")"),0)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IFERROR(__xludf.DUMMYFUNCTION("IMPORTRANGE(""https://docs.google.com/spreadsheets/d/1C3CXT74ZlgGe6_JY_1olB1XN4rF0dxEuIIF-xsYjHgg/edit?usp=sharing"",""พรบ!T72"")"),0)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IFERROR(__xludf.DUMMYFUNCTION("IMPORTRANGE(""https://docs.google.com/spreadsheets/d/1C3CXT74ZlgGe6_JY_1olB1XN4rF0dxEuIIF-xsYjHgg/edit?usp=sharing"",""พรบ!U72"")"),0)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IFERROR(__xludf.DUMMYFUNCTION("IMPORTRANGE(""https://docs.google.com/spreadsheets/d/1C3CXT74ZlgGe6_JY_1olB1XN4rF0dxEuIIF-xsYjHgg/edit?usp=sharing"",""พรบ!V72"")"),0)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IFERROR(__xludf.DUMMYFUNCTION("IMPORTRANGE(""https://docs.google.com/spreadsheets/d/1C3CXT74ZlgGe6_JY_1olB1XN4rF0dxEuIIF-xsYjHgg/edit?usp=sharing"",""พรบ!W72"")"),0)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6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IFERROR(__xludf.DUMMYFUNCTION("IMPORTRANGE(""https://docs.google.com/spreadsheets/d/1C3CXT74ZlgGe6_JY_1olB1XN4rF0dxEuIIF-xsYjHgg/edit?usp=sharing"",""พรบ!Y72"")"),0)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IFERROR(__xludf.DUMMYFUNCTION("IMPORTRANGE(""https://docs.google.com/spreadsheets/d/1C3CXT74ZlgGe6_JY_1olB1XN4rF0dxEuIIF-xsYjHgg/edit?usp=sharing"",""พรบ!Z72"")"),0)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246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IFERROR(__xludf.DUMMYFUNCTION("IMPORTRANGE(""https://docs.google.com/spreadsheets/d/1C3CXT74ZlgGe6_JY_1olB1XN4rF0dxEuIIF-xsYjHgg/edit?usp=sharing"",""พรบ!AA72"")"),0)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7">
        <v>0</v>
      </c>
      <c r="K65" s="358"/>
      <c r="L65" s="359"/>
      <c r="M65" s="359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20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340900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340900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IFERROR(__xludf.DUMMYFUNCTION("IMPORTRANGE(""https://docs.google.com/spreadsheets/d/1C3CXT74ZlgGe6_JY_1olB1XN4rF0dxEuIIF-xsYjHgg/edit?usp=sharing"",""พรบ!AD72"")"),232000)</f>
        <v>232000</v>
      </c>
      <c r="M72" s="53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108900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IFERROR(__xludf.DUMMYFUNCTION("IMPORTRANGE(""https://docs.google.com/spreadsheets/d/1C3CXT74ZlgGe6_JY_1olB1XN4rF0dxEuIIF-xsYjHgg/edit?usp=sharing"",""พรบ!AF72"")"),7500)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IFERROR(__xludf.DUMMYFUNCTION("IMPORTRANGE(""https://docs.google.com/spreadsheets/d/1C3CXT74ZlgGe6_JY_1olB1XN4rF0dxEuIIF-xsYjHgg/edit?usp=sharing"",""พรบ!AG72"")"),4)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1</v>
      </c>
      <c r="J89" s="149">
        <f t="shared" si="21"/>
        <v>0</v>
      </c>
      <c r="K89" s="150">
        <f ca="1">IF(I89&gt;0,J89*100/I89,0)</f>
        <v>0</v>
      </c>
      <c r="L89" s="147">
        <f ca="1">L90+L91</f>
        <v>14000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14000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IFERROR(__xludf.DUMMYFUNCTION("IMPORTRANGE(""https://docs.google.com/spreadsheets/d/1C3CXT74ZlgGe6_JY_1olB1XN4rF0dxEuIIF-xsYjHgg/edit?usp=sharing"",""พรบ!AH72"")"),14000)</f>
        <v>14000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IFERROR(__xludf.DUMMYFUNCTION("IMPORTRANGE(""https://docs.google.com/spreadsheets/d/1C3CXT74ZlgGe6_JY_1olB1XN4rF0dxEuIIF-xsYjHgg/edit?usp=sharing"",""พรบ!AI72"")"),1)</f>
        <v>1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IFERROR(__xludf.DUMMYFUNCTION("IMPORTRANGE(""https://docs.google.com/spreadsheets/d/1C3CXT74ZlgGe6_JY_1olB1XN4rF0dxEuIIF-xsYjHgg/edit?usp=sharing"",""กปร!C72"")"),12000)</f>
        <v>12000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IFERROR(__xludf.DUMMYFUNCTION("IMPORTRANGE(""https://docs.google.com/spreadsheets/d/1C3CXT74ZlgGe6_JY_1olB1XN4rF0dxEuIIF-xsYjHgg/edit?usp=sharing"",""พรบ!AJ72"")"),0)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IFERROR(__xludf.DUMMYFUNCTION("IMPORTRANGE(""https://docs.google.com/spreadsheets/d/1C3CXT74ZlgGe6_JY_1olB1XN4rF0dxEuIIF-xsYjHgg/edit?usp=sharing"",""พรบ!AK72"")"),0)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IFERROR(__xludf.DUMMYFUNCTION("IMPORTRANGE(""https://docs.google.com/spreadsheets/d/1C3CXT74ZlgGe6_JY_1olB1XN4rF0dxEuIIF-xsYjHgg/edit?usp=sharing"",""กปร!D72"")"),0)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IFERROR(__xludf.DUMMYFUNCTION("IMPORTRANGE(""https://docs.google.com/spreadsheets/d/1C3CXT74ZlgGe6_JY_1olB1XN4rF0dxEuIIF-xsYjHgg/edit?usp=sharing"",""พรบ!AL72"")"),0)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IFERROR(__xludf.DUMMYFUNCTION("IMPORTRANGE(""https://docs.google.com/spreadsheets/d/1C3CXT74ZlgGe6_JY_1olB1XN4rF0dxEuIIF-xsYjHgg/edit?usp=sharing"",""กปร!E72"")"),0)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6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6400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7200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7200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IFERROR(__xludf.DUMMYFUNCTION("IMPORTRANGE(""https://docs.google.com/spreadsheets/d/1C3CXT74ZlgGe6_JY_1olB1XN4rF0dxEuIIF-xsYjHgg/edit?usp=sharing"",""พรบ!AM72"")"),7200)</f>
        <v>7200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IFERROR(__xludf.DUMMYFUNCTION("IMPORTRANGE(""https://docs.google.com/spreadsheets/d/1C3CXT74ZlgGe6_JY_1olB1XN4rF0dxEuIIF-xsYjHgg/edit?usp=sharing"",""พรบ!AO72"")"),6400)</f>
        <v>6400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IFERROR(__xludf.DUMMYFUNCTION("IMPORTRANGE(""https://docs.google.com/spreadsheets/d/1C3CXT74ZlgGe6_JY_1olB1XN4rF0dxEuIIF-xsYjHgg/edit?usp=sharing"",""พรบ!AP72"")"),6400)</f>
        <v>6400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IFERROR(__xludf.DUMMYFUNCTION("IMPORTRANGE(""https://docs.google.com/spreadsheets/d/1C3CXT74ZlgGe6_JY_1olB1XN4rF0dxEuIIF-xsYjHgg/edit?usp=sharing"",""กปร!F72"")"),3200)</f>
        <v>3200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IFERROR(__xludf.DUMMYFUNCTION("IMPORTRANGE(""https://docs.google.com/spreadsheets/d/1C3CXT74ZlgGe6_JY_1olB1XN4rF0dxEuIIF-xsYjHgg/edit?usp=sharing"",""พรบ!AQ72"")"),0)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IFERROR(__xludf.DUMMYFUNCTION("IMPORTRANGE(""https://docs.google.com/spreadsheets/d/1C3CXT74ZlgGe6_JY_1olB1XN4rF0dxEuIIF-xsYjHgg/edit?usp=sharing"",""กปร!G72"")"),0)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221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20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80200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80200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47"/>
      <c r="K132" s="48"/>
      <c r="L132" s="52">
        <f ca="1">IFERROR(__xludf.DUMMYFUNCTION("IMPORTRANGE(""https://docs.google.com/spreadsheets/d/1C3CXT74ZlgGe6_JY_1olB1XN4rF0dxEuIIF-xsYjHgg/edit?usp=sharing"",""พรบ!AR72"")"),80200)</f>
        <v>80200</v>
      </c>
      <c r="M132" s="53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47"/>
      <c r="K133" s="48"/>
      <c r="L133" s="60"/>
      <c r="M133" s="60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7">
        <v>0</v>
      </c>
      <c r="K134" s="48"/>
      <c r="L134" s="60"/>
      <c r="M134" s="60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7">
        <v>0</v>
      </c>
      <c r="K135" s="48"/>
      <c r="L135" s="60" t="s">
        <v>21</v>
      </c>
      <c r="M135" s="60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7">
        <v>0</v>
      </c>
      <c r="K136" s="48"/>
      <c r="L136" s="60"/>
      <c r="M136" s="60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7">
        <v>0</v>
      </c>
      <c r="K137" s="48"/>
      <c r="L137" s="60"/>
      <c r="M137" s="60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IFERROR(__xludf.DUMMYFUNCTION("IMPORTRANGE(""https://docs.google.com/spreadsheets/d/1C3CXT74ZlgGe6_JY_1olB1XN4rF0dxEuIIF-xsYjHgg/edit?usp=sharing"",""พรบ!AS72"")"),20)</f>
        <v>20</v>
      </c>
      <c r="J138" s="67">
        <v>0</v>
      </c>
      <c r="K138" s="48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IFERROR(__xludf.DUMMYFUNCTION("IMPORTRANGE(""https://docs.google.com/spreadsheets/d/1C3CXT74ZlgGe6_JY_1olB1XN4rF0dxEuIIF-xsYjHgg/edit?usp=sharing"",""กปร!H72"")"),35200)</f>
        <v>35200</v>
      </c>
      <c r="M138" s="361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48"/>
      <c r="L139" s="60"/>
      <c r="M139" s="60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IFERROR(__xludf.DUMMYFUNCTION("IMPORTRANGE(""https://docs.google.com/spreadsheets/d/1C3CXT74ZlgGe6_JY_1olB1XN4rF0dxEuIIF-xsYjHgg/edit?usp=sharing"",""พรบ!AT72"")"),20)</f>
        <v>20</v>
      </c>
      <c r="J140" s="67">
        <v>0</v>
      </c>
      <c r="K140" s="48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IFERROR(__xludf.DUMMYFUNCTION("IMPORTRANGE(""https://docs.google.com/spreadsheets/d/1C3CXT74ZlgGe6_JY_1olB1XN4rF0dxEuIIF-xsYjHgg/edit?usp=sharing"",""กปร!I72"")"),20000)</f>
        <v>20000</v>
      </c>
      <c r="M140" s="361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IFERROR(__xludf.DUMMYFUNCTION("IMPORTRANGE(""https://docs.google.com/spreadsheets/d/1C3CXT74ZlgGe6_JY_1olB1XN4rF0dxEuIIF-xsYjHgg/edit?usp=sharing"",""พรบ!AU72"")"),0)</f>
        <v>0</v>
      </c>
      <c r="J141" s="66">
        <v>0</v>
      </c>
      <c r="K141" s="48">
        <f t="shared" ca="1" si="34"/>
        <v>0</v>
      </c>
      <c r="L141" s="52">
        <f ca="1">IFERROR(__xludf.DUMMYFUNCTION("IMPORTRANGE(""https://docs.google.com/spreadsheets/d/1C3CXT74ZlgGe6_JY_1olB1XN4rF0dxEuIIF-xsYjHgg/edit?usp=sharing"",""กปร!J72"")"),0)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7">
        <v>0</v>
      </c>
      <c r="K142" s="48"/>
      <c r="L142" s="60"/>
      <c r="M142" s="60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112">
        <v>0</v>
      </c>
      <c r="K143" s="113"/>
      <c r="L143" s="114"/>
      <c r="M143" s="114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15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21125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21125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IFERROR(__xludf.DUMMYFUNCTION("IMPORTRANGE(""https://docs.google.com/spreadsheets/d/1C3CXT74ZlgGe6_JY_1olB1XN4rF0dxEuIIF-xsYjHgg/edit?usp=sharing"",""พรบ!AY72"")"),21125)</f>
        <v>21125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15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IFERROR(__xludf.DUMMYFUNCTION("IMPORTRANGE(""https://docs.google.com/spreadsheets/d/1C3CXT74ZlgGe6_JY_1olB1XN4rF0dxEuIIF-xsYjHgg/edit?usp=sharing"",""พรบ!BA72"")"),15)</f>
        <v>15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25</v>
      </c>
      <c r="J169" s="177">
        <f>+J180</f>
        <v>0</v>
      </c>
      <c r="K169" s="178">
        <f ca="1">IF(I169&gt;0,J169*100/I169,0)</f>
        <v>0</v>
      </c>
      <c r="L169" s="179">
        <f ca="1">L170+L171</f>
        <v>199000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199000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47"/>
      <c r="K172" s="48"/>
      <c r="L172" s="52">
        <f ca="1">IFERROR(__xludf.DUMMYFUNCTION("IMPORTRANGE(""https://docs.google.com/spreadsheets/d/1C3CXT74ZlgGe6_JY_1olB1XN4rF0dxEuIIF-xsYjHgg/edit?usp=sharing"",""พรบ!BD72"")"),0)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47"/>
      <c r="K173" s="48"/>
      <c r="L173" s="52">
        <f ca="1">IFERROR(__xludf.DUMMYFUNCTION("IMPORTRANGE(""https://docs.google.com/spreadsheets/d/1C3CXT74ZlgGe6_JY_1olB1XN4rF0dxEuIIF-xsYjHgg/edit?usp=sharing"",""พรบ!BE72"")"),199000)</f>
        <v>199000</v>
      </c>
      <c r="M173" s="53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v>0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v>0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v>0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v>0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IFERROR(__xludf.DUMMYFUNCTION("IMPORTRANGE(""https://docs.google.com/spreadsheets/d/1C3CXT74ZlgGe6_JY_1olB1XN4rF0dxEuIIF-xsYjHgg/edit?usp=sharing"",""พรบ!BF72"")"),1)</f>
        <v>1</v>
      </c>
      <c r="J179" s="67">
        <v>0</v>
      </c>
      <c r="K179" s="48">
        <f t="shared" ref="K179:K182" ca="1" si="41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IFERROR(__xludf.DUMMYFUNCTION("IMPORTRANGE(""https://docs.google.com/spreadsheets/d/1C3CXT74ZlgGe6_JY_1olB1XN4rF0dxEuIIF-xsYjHgg/edit?usp=sharing"",""พรบ!BG72"")"),25)</f>
        <v>25</v>
      </c>
      <c r="J180" s="67">
        <v>0</v>
      </c>
      <c r="K180" s="48">
        <f t="shared" ca="1" si="41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IFERROR(__xludf.DUMMYFUNCTION("IMPORTRANGE(""https://docs.google.com/spreadsheets/d/1C3CXT74ZlgGe6_JY_1olB1XN4rF0dxEuIIF-xsYjHgg/edit?usp=sharing"",""พรบ!BH72"")"),25)</f>
        <v>25</v>
      </c>
      <c r="J181" s="67">
        <v>0</v>
      </c>
      <c r="K181" s="48">
        <f t="shared" ca="1" si="41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IFERROR(__xludf.DUMMYFUNCTION("IMPORTRANGE(""https://docs.google.com/spreadsheets/d/1C3CXT74ZlgGe6_JY_1olB1XN4rF0dxEuIIF-xsYjHgg/edit?usp=sharing"",""พรบ!BI72"")"),1)</f>
        <v>1</v>
      </c>
      <c r="J182" s="67">
        <v>0</v>
      </c>
      <c r="K182" s="48">
        <f t="shared" ca="1" si="41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v>0</v>
      </c>
      <c r="K183" s="48"/>
      <c r="L183" s="60"/>
      <c r="M183" s="60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112">
        <v>0</v>
      </c>
      <c r="K184" s="113"/>
      <c r="L184" s="114"/>
      <c r="M184" s="114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15</v>
      </c>
      <c r="J185" s="177">
        <f>+J195</f>
        <v>0</v>
      </c>
      <c r="K185" s="178">
        <f ca="1">IF(I185&gt;0,J185*100/I185,0)</f>
        <v>0</v>
      </c>
      <c r="L185" s="179">
        <f ca="1">L186+L187</f>
        <v>55200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55200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IFERROR(__xludf.DUMMYFUNCTION("IMPORTRANGE(""https://docs.google.com/spreadsheets/d/1C3CXT74ZlgGe6_JY_1olB1XN4rF0dxEuIIF-xsYjHgg/edit?usp=sharing"",""พรบ!BK72"")"),0)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IFERROR(__xludf.DUMMYFUNCTION("IMPORTRANGE(""https://docs.google.com/spreadsheets/d/1C3CXT74ZlgGe6_JY_1olB1XN4rF0dxEuIIF-xsYjHgg/edit?usp=sharing"",""พรบ!BL72"")"),55200)</f>
        <v>55200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0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0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IFERROR(__xludf.DUMMYFUNCTION("IMPORTRANGE(""https://docs.google.com/spreadsheets/d/1C3CXT74ZlgGe6_JY_1olB1XN4rF0dxEuIIF-xsYjHgg/edit?usp=sharing"",""พรบ!BM72"")"),15)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IFERROR(__xludf.DUMMYFUNCTION("IMPORTRANGE(""https://docs.google.com/spreadsheets/d/1C3CXT74ZlgGe6_JY_1olB1XN4rF0dxEuIIF-xsYjHgg/edit?usp=sharing"",""พรบ!BP72"")"),0)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IFERROR(__xludf.DUMMYFUNCTION("IMPORTRANGE(""https://docs.google.com/spreadsheets/d/1C3CXT74ZlgGe6_JY_1olB1XN4rF0dxEuIIF-xsYjHgg/edit?usp=sharing"",""พรบ!BQ72"")"),0)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IFERROR(__xludf.DUMMYFUNCTION("IMPORTRANGE(""https://docs.google.com/spreadsheets/d/1C3CXT74ZlgGe6_JY_1olB1XN4rF0dxEuIIF-xsYjHgg/edit?usp=sharing"",""พรบ!BR72"")"),0)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IFERROR(__xludf.DUMMYFUNCTION("IMPORTRANGE(""https://docs.google.com/spreadsheets/d/1C3CXT74ZlgGe6_JY_1olB1XN4rF0dxEuIIF-xsYjHgg/edit?usp=sharing"",""พรบ!BU72"")"),0)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IFERROR(__xludf.DUMMYFUNCTION("IMPORTRANGE(""https://docs.google.com/spreadsheets/d/1C3CXT74ZlgGe6_JY_1olB1XN4rF0dxEuIIF-xsYjHgg/edit?usp=sharing"",""พรบ!BV72"")"),0)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62</v>
      </c>
      <c r="J228" s="197">
        <f ca="1">J240</f>
        <v>0</v>
      </c>
      <c r="K228" s="178">
        <f ca="1">IF(I228&gt;0,J228*100/I228,0)</f>
        <v>0</v>
      </c>
      <c r="L228" s="179">
        <f ca="1">L229+L230</f>
        <v>639020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639020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IFERROR(__xludf.DUMMYFUNCTION("IMPORTRANGE(""https://docs.google.com/spreadsheets/d/1C3CXT74ZlgGe6_JY_1olB1XN4rF0dxEuIIF-xsYjHgg/edit?usp=sharing"",""พรบ!BX72"")"),381200)</f>
        <v>381200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IFERROR(__xludf.DUMMYFUNCTION("IMPORTRANGE(""https://docs.google.com/spreadsheets/d/1C3CXT74ZlgGe6_JY_1olB1XN4rF0dxEuIIF-xsYjHgg/edit?usp=sharing"",""พรบ!BY72"")"),257820)</f>
        <v>257820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IFERROR(__xludf.DUMMYFUNCTION("IMPORTRANGE(""https://docs.google.com/spreadsheets/d/1AGHcLOeeYFL3K4b9R1dSzyJy00PE_ra89DNTVfnxSWM/edit?usp=sharing"",""รวมที่ทำกิน!J61"")"),0)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IFERROR(__xludf.DUMMYFUNCTION("IMPORTRANGE(""https://docs.google.com/spreadsheets/d/1C3CXT74ZlgGe6_JY_1olB1XN4rF0dxEuIIF-xsYjHgg/edit?usp=sharing"",""พรบ!BZ72"")"),775)</f>
        <v>775</v>
      </c>
      <c r="J235" s="66">
        <f ca="1">IFERROR(__xludf.DUMMYFUNCTION("IMPORTRANGE(""https://docs.google.com/spreadsheets/d/1AGHcLOeeYFL3K4b9R1dSzyJy00PE_ra89DNTVfnxSWM/edit?usp=sharing"",""รวมที่ทำกิน!L61"")"),0)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IFERROR(__xludf.DUMMYFUNCTION("IMPORTRANGE(""https://docs.google.com/spreadsheets/d/1C3CXT74ZlgGe6_JY_1olB1XN4rF0dxEuIIF-xsYjHgg/edit?usp=sharing"",""พรบ!CA72"")"),62)</f>
        <v>62</v>
      </c>
      <c r="J236" s="66">
        <f ca="1">IFERROR(__xludf.DUMMYFUNCTION("IMPORTRANGE(""https://docs.google.com/spreadsheets/d/1AGHcLOeeYFL3K4b9R1dSzyJy00PE_ra89DNTVfnxSWM/edit?usp=sharing"",""รวมที่ทำกิน!O61"")"),0)</f>
        <v>0</v>
      </c>
      <c r="K236" s="200">
        <f t="shared" ca="1" si="52"/>
        <v>0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IFERROR(__xludf.DUMMYFUNCTION("IMPORTRANGE(""https://docs.google.com/spreadsheets/d/1AGHcLOeeYFL3K4b9R1dSzyJy00PE_ra89DNTVfnxSWM/edit?usp=sharing"",""รวมที่ทำกิน!Q61"")"),0)</f>
        <v>0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IFERROR(__xludf.DUMMYFUNCTION("IMPORTRANGE(""https://docs.google.com/spreadsheets/d/1C3CXT74ZlgGe6_JY_1olB1XN4rF0dxEuIIF-xsYjHgg/edit?usp=sharing"",""พรบ!CB72"")"),62)</f>
        <v>62</v>
      </c>
      <c r="J238" s="66">
        <f ca="1">IFERROR(__xludf.DUMMYFUNCTION("IMPORTRANGE(""https://docs.google.com/spreadsheets/d/1AGHcLOeeYFL3K4b9R1dSzyJy00PE_ra89DNTVfnxSWM/edit?usp=sharing"",""รวมที่ทำกิน!S61"")"),0)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IFERROR(__xludf.DUMMYFUNCTION("IMPORTRANGE(""https://docs.google.com/spreadsheets/d/1AGHcLOeeYFL3K4b9R1dSzyJy00PE_ra89DNTVfnxSWM/edit?usp=sharing"",""รวมที่ทำกิน!U61"")"),0)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IFERROR(__xludf.DUMMYFUNCTION("IMPORTRANGE(""https://docs.google.com/spreadsheets/d/1C3CXT74ZlgGe6_JY_1olB1XN4rF0dxEuIIF-xsYjHgg/edit?usp=sharing"",""พรบ!CC72"")"),62)</f>
        <v>62</v>
      </c>
      <c r="J240" s="66">
        <f ca="1">IFERROR(__xludf.DUMMYFUNCTION("IMPORTRANGE(""https://docs.google.com/spreadsheets/d/1AGHcLOeeYFL3K4b9R1dSzyJy00PE_ra89DNTVfnxSWM/edit?usp=sharing"",""รวมที่ทำกิน!W61"")"),0)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IFERROR(__xludf.DUMMYFUNCTION("IMPORTRANGE(""https://docs.google.com/spreadsheets/d/1AGHcLOeeYFL3K4b9R1dSzyJy00PE_ra89DNTVfnxSWM/edit?usp=sharing"",""รวมที่ทำกิน!Y61"")"),0)</f>
        <v>0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992889</v>
      </c>
      <c r="M242" s="213">
        <f t="shared" si="53"/>
        <v>0</v>
      </c>
      <c r="N242" s="213">
        <f ca="1">+IF(L242&gt;0,M242*100/L242,0)</f>
        <v>0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80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280560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25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280560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IFERROR(__xludf.DUMMYFUNCTION("IMPORTRANGE(""https://docs.google.com/spreadsheets/d/1C3CXT74ZlgGe6_JY_1olB1XN4rF0dxEuIIF-xsYjHgg/edit?usp=sharing"",""งบกองทุน!d72"")"),0)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IFERROR(__xludf.DUMMYFUNCTION("IMPORTRANGE(""https://docs.google.com/spreadsheets/d/1C3CXT74ZlgGe6_JY_1olB1XN4rF0dxEuIIF-xsYjHgg/edit?usp=sharing"",""งบกองทุน!e72"")"),280560)</f>
        <v>280560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0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0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IFERROR(__xludf.DUMMYFUNCTION("IMPORTRANGE(""https://docs.google.com/spreadsheets/d/1C3CXT74ZlgGe6_JY_1olB1XN4rF0dxEuIIF-xsYjHgg/edit?usp=sharing"",""งบกองทุน!f72"")"),0)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80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IFERROR(__xludf.DUMMYFUNCTION("IMPORTRANGE(""https://docs.google.com/spreadsheets/d/1C3CXT74ZlgGe6_JY_1olB1XN4rF0dxEuIIF-xsYjHgg/edit?usp=sharing"",""งบกองทุน!H72"")"),25)</f>
        <v>25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IFERROR(__xludf.DUMMYFUNCTION("IMPORTRANGE(""https://docs.google.com/spreadsheets/d/1C3CXT74ZlgGe6_JY_1olB1XN4rF0dxEuIIF-xsYjHgg/edit?usp=sharing"",""งบกองทุน!i72"")"),65)</f>
        <v>65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25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IFERROR(__xludf.DUMMYFUNCTION("IMPORTRANGE(""https://docs.google.com/spreadsheets/d/1C3CXT74ZlgGe6_JY_1olB1XN4rF0dxEuIIF-xsYjHgg/edit?usp=sharing"",""งบกองทุน!k72"")"),15)</f>
        <v>15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25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IFERROR(__xludf.DUMMYFUNCTION("IMPORTRANGE(""https://docs.google.com/spreadsheets/d/1C3CXT74ZlgGe6_JY_1olB1XN4rF0dxEuIIF-xsYjHgg/edit?usp=sharing"",""งบกองทุน!m72"")"),0)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80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IFERROR(__xludf.DUMMYFUNCTION("IMPORTRANGE(""https://docs.google.com/spreadsheets/d/1C3CXT74ZlgGe6_JY_1olB1XN4rF0dxEuIIF-xsYjHgg/edit?usp=sharing"",""งบกองทุน!o72"")"),15)</f>
        <v>15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IFERROR(__xludf.DUMMYFUNCTION("IMPORTRANGE(""https://docs.google.com/spreadsheets/d/1C3CXT74ZlgGe6_JY_1olB1XN4rF0dxEuIIF-xsYjHgg/edit?usp=sharing"",""งบกองทุน!p72"")"),65)</f>
        <v>65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200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207560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20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207560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IFERROR(__xludf.DUMMYFUNCTION("IMPORTRANGE(""https://docs.google.com/spreadsheets/d/1C3CXT74ZlgGe6_JY_1olB1XN4rF0dxEuIIF-xsYjHgg/edit?usp=sharing"",""งบกองทุน!r72"")"),0)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IFERROR(__xludf.DUMMYFUNCTION("IMPORTRANGE(""https://docs.google.com/spreadsheets/d/1C3CXT74ZlgGe6_JY_1olB1XN4rF0dxEuIIF-xsYjHgg/edit?usp=sharing"",""งบกองทุน!s72"")"),207560)</f>
        <v>207560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0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IFERROR(__xludf.DUMMYFUNCTION("IMPORTRANGE(""https://docs.google.com/spreadsheets/d/1C3CXT74ZlgGe6_JY_1olB1XN4rF0dxEuIIF-xsYjHgg/edit?usp=sharing"",""งบกองทุน!v72"")"),20)</f>
        <v>20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IFERROR(__xludf.DUMMYFUNCTION("IMPORTRANGE(""https://docs.google.com/spreadsheets/d/1C3CXT74ZlgGe6_JY_1olB1XN4rF0dxEuIIF-xsYjHgg/edit?usp=sharing"",""งบกองทุน!w72"")"),200)</f>
        <v>200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IFERROR(__xludf.DUMMYFUNCTION("IMPORTRANGE(""https://docs.google.com/spreadsheets/d/1C3CXT74ZlgGe6_JY_1olB1XN4rF0dxEuIIF-xsYjHgg/edit?usp=sharing"",""งบกองทุน!x72"")"),20)</f>
        <v>20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135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156040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45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156040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IFERROR(__xludf.DUMMYFUNCTION("IMPORTRANGE(""https://docs.google.com/spreadsheets/d/1C3CXT74ZlgGe6_JY_1olB1XN4rF0dxEuIIF-xsYjHgg/edit?usp=sharing"",""งบกองทุน!z72"")"),0)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IFERROR(__xludf.DUMMYFUNCTION("IMPORTRANGE(""https://docs.google.com/spreadsheets/d/1C3CXT74ZlgGe6_JY_1olB1XN4rF0dxEuIIF-xsYjHgg/edit?usp=sharing"",""งบกองทุน!aa72"")"),156040)</f>
        <v>156040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45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IFERROR(__xludf.DUMMYFUNCTION("IMPORTRANGE(""https://docs.google.com/spreadsheets/d/1C3CXT74ZlgGe6_JY_1olB1XN4rF0dxEuIIF-xsYjHgg/edit?usp=sharing"",""งบกองทุน!ae72"")"),15)</f>
        <v>15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IFERROR(__xludf.DUMMYFUNCTION("IMPORTRANGE(""https://docs.google.com/spreadsheets/d/1C3CXT74ZlgGe6_JY_1olB1XN4rF0dxEuIIF-xsYjHgg/edit?usp=sharing"",""งบกองทุน!ad72"")"),45)</f>
        <v>45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IFERROR(__xludf.DUMMYFUNCTION("IMPORTRANGE(""https://docs.google.com/spreadsheets/d/1C3CXT74ZlgGe6_JY_1olB1XN4rF0dxEuIIF-xsYjHgg/edit?usp=sharing"",""งบกองทุน!af72"")"),15)</f>
        <v>15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IFERROR(__xludf.DUMMYFUNCTION("IMPORTRANGE(""https://docs.google.com/spreadsheets/d/1C3CXT74ZlgGe6_JY_1olB1XN4rF0dxEuIIF-xsYjHgg/edit?usp=sharing"",""งบกองทุน!ag72"")"),15)</f>
        <v>15</v>
      </c>
      <c r="J315" s="247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IFERROR(__xludf.DUMMYFUNCTION("IMPORTRANGE(""https://docs.google.com/spreadsheets/d/1C3CXT74ZlgGe6_JY_1olB1XN4rF0dxEuIIF-xsYjHgg/edit?usp=sharing"",""งบกองทุน!ai72"")"),16)</f>
        <v>16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IFERROR(__xludf.DUMMYFUNCTION("IMPORTRANGE(""https://docs.google.com/spreadsheets/d/1C3CXT74ZlgGe6_JY_1olB1XN4rF0dxEuIIF-xsYjHgg/edit?usp=sharing"",""งบกองทุน!ah72"")"),48)</f>
        <v>48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IFERROR(__xludf.DUMMYFUNCTION("IMPORTRANGE(""https://docs.google.com/spreadsheets/d/1C3CXT74ZlgGe6_JY_1olB1XN4rF0dxEuIIF-xsYjHgg/edit?usp=sharing"",""งบกองทุน!aj72"")"),16)</f>
        <v>16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IFERROR(__xludf.DUMMYFUNCTION("IMPORTRANGE(""https://docs.google.com/spreadsheets/d/1C3CXT74ZlgGe6_JY_1olB1XN4rF0dxEuIIF-xsYjHgg/edit?usp=sharing"",""งบกองทุน!ak72"")"),16)</f>
        <v>16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IFERROR(__xludf.DUMMYFUNCTION("IMPORTRANGE(""https://docs.google.com/spreadsheets/d/1C3CXT74ZlgGe6_JY_1olB1XN4rF0dxEuIIF-xsYjHgg/edit?usp=sharing"",""งบกองทุน!al72"")"),16)</f>
        <v>16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IFERROR(__xludf.DUMMYFUNCTION("IMPORTRANGE(""https://docs.google.com/spreadsheets/d/1C3CXT74ZlgGe6_JY_1olB1XN4rF0dxEuIIF-xsYjHgg/edit?usp=sharing"",""งบกองทุน!an72"")"),14)</f>
        <v>14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IFERROR(__xludf.DUMMYFUNCTION("IMPORTRANGE(""https://docs.google.com/spreadsheets/d/1C3CXT74ZlgGe6_JY_1olB1XN4rF0dxEuIIF-xsYjHgg/edit?usp=sharing"",""งบกองทุน!am72"")"),42)</f>
        <v>42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IFERROR(__xludf.DUMMYFUNCTION("IMPORTRANGE(""https://docs.google.com/spreadsheets/d/1C3CXT74ZlgGe6_JY_1olB1XN4rF0dxEuIIF-xsYjHgg/edit?usp=sharing"",""งบกองทุน!ao72"")"),14)</f>
        <v>14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IFERROR(__xludf.DUMMYFUNCTION("IMPORTRANGE(""https://docs.google.com/spreadsheets/d/1C3CXT74ZlgGe6_JY_1olB1XN4rF0dxEuIIF-xsYjHgg/edit?usp=sharing"",""งบกองทุน!ap72"")"),14)</f>
        <v>14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31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IFERROR(__xludf.DUMMYFUNCTION("IMPORTRANGE(""https://docs.google.com/spreadsheets/d/1C3CXT74ZlgGe6_JY_1olB1XN4rF0dxEuIIF-xsYjHgg/edit?usp=sharing"",""งบกองทุน!ar72"")"),15)</f>
        <v>15</v>
      </c>
      <c r="J326" s="67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IFERROR(__xludf.DUMMYFUNCTION("IMPORTRANGE(""https://docs.google.com/spreadsheets/d/1C3CXT74ZlgGe6_JY_1olB1XN4rF0dxEuIIF-xsYjHgg/edit?usp=sharing"",""งบกองทุน!as72"")"),16)</f>
        <v>16</v>
      </c>
      <c r="J327" s="67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20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95000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95000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IFERROR(__xludf.DUMMYFUNCTION("IMPORTRANGE(""https://docs.google.com/spreadsheets/d/1C3CXT74ZlgGe6_JY_1olB1XN4rF0dxEuIIF-xsYjHgg/edit?usp=sharing"",""งบกองทุน!au72"")"),0)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IFERROR(__xludf.DUMMYFUNCTION("IMPORTRANGE(""https://docs.google.com/spreadsheets/d/1C3CXT74ZlgGe6_JY_1olB1XN4rF0dxEuIIF-xsYjHgg/edit?usp=sharing"",""งบกองทุน!av72"")"),95000)</f>
        <v>95000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20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IFERROR(__xludf.DUMMYFUNCTION("IMPORTRANGE(""https://docs.google.com/spreadsheets/d/1C3CXT74ZlgGe6_JY_1olB1XN4rF0dxEuIIF-xsYjHgg/edit?usp=sharing"",""งบกองทุน!ay72"")"),20)</f>
        <v>20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IFERROR(__xludf.DUMMYFUNCTION("IMPORTRANGE(""https://docs.google.com/spreadsheets/d/1C3CXT74ZlgGe6_JY_1olB1XN4rF0dxEuIIF-xsYjHgg/edit?usp=sharing"",""งบกองทุน!az72"")"),0)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IFERROR(__xludf.DUMMYFUNCTION("IMPORTRANGE(""https://docs.google.com/spreadsheets/d/1C3CXT74ZlgGe6_JY_1olB1XN4rF0dxEuIIF-xsYjHgg/edit?usp=sharing"",""งบกองทุน!Ba72"")"),0)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7112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94119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94119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IFERROR(__xludf.DUMMYFUNCTION("IMPORTRANGE(""https://docs.google.com/spreadsheets/d/1C3CXT74ZlgGe6_JY_1olB1XN4rF0dxEuIIF-xsYjHgg/edit?usp=sharing"",""งบกองทุน!Bc72"")"),0)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IFERROR(__xludf.DUMMYFUNCTION("IMPORTRANGE(""https://docs.google.com/spreadsheets/d/1C3CXT74ZlgGe6_JY_1olB1XN4rF0dxEuIIF-xsYjHgg/edit?usp=sharing"",""งบกองทุน!Bd72"")"),94119)</f>
        <v>94119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IFERROR(__xludf.DUMMYFUNCTION("IMPORTRANGE(""https://docs.google.com/spreadsheets/d/1C3CXT74ZlgGe6_JY_1olB1XN4rF0dxEuIIF-xsYjHgg/edit?usp=sharing"",""งบกองทุน!BE72"")"),7112)</f>
        <v>7112</v>
      </c>
      <c r="J359" s="136">
        <f>+J376</f>
        <v>0</v>
      </c>
      <c r="K359" s="137">
        <f t="shared" ref="K359:K408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IFERROR(__xludf.DUMMYFUNCTION("IMPORTRANGE(""https://docs.google.com/spreadsheets/d/1C3CXT74ZlgGe6_JY_1olB1XN4rF0dxEuIIF-xsYjHgg/edit?usp=sharing"",""งบกองทุน!BE72"")"),7112)</f>
        <v>7112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IFERROR(__xludf.DUMMYFUNCTION("IMPORTRANGE(""https://docs.google.com/spreadsheets/d/1C3CXT74ZlgGe6_JY_1olB1XN4rF0dxEuIIF-xsYjHgg/edit?usp=sharing"",""งบกองทุน!Bf72"")"),645)</f>
        <v>645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7112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265">
        <f ca="1">I361</f>
        <v>645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7112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265">
        <f ca="1">I361</f>
        <v>645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IFERROR(__xludf.DUMMYFUNCTION("IMPORTRANGE(""https://docs.google.com/spreadsheets/d/1C3CXT74ZlgGe6_JY_1olB1XN4rF0dxEuIIF-xsYjHgg/edit?usp=sharing"",""งบกองทุน!cd72"")"),65)</f>
        <v>65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IFERROR(__xludf.DUMMYFUNCTION("IMPORTRANGE(""https://docs.google.com/spreadsheets/d/1C3CXT74ZlgGe6_JY_1olB1XN4rF0dxEuIIF-xsYjHgg/edit?usp=sharing"",""งบกองทุน!cd72"")"),65)</f>
        <v>65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IFERROR(__xludf.DUMMYFUNCTION("IMPORTRANGE(""https://docs.google.com/spreadsheets/d/1C3CXT74ZlgGe6_JY_1olB1XN4rF0dxEuIIF-xsYjHgg/edit?usp=sharing"",""งบกองทุน!cc72"")"),12)</f>
        <v>12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IFERROR(__xludf.DUMMYFUNCTION("IMPORTRANGE(""https://docs.google.com/spreadsheets/d/1C3CXT74ZlgGe6_JY_1olB1XN4rF0dxEuIIF-xsYjHgg/edit?usp=sharing"",""งบกองทุน!cz72"")"),0)</f>
        <v>0</v>
      </c>
      <c r="J409" s="136">
        <v>0</v>
      </c>
      <c r="K409" s="137"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IFERROR(__xludf.DUMMYFUNCTION("IMPORTRANGE(""https://docs.google.com/spreadsheets/d/1C3CXT74ZlgGe6_JY_1olB1XN4rF0dxEuIIF-xsYjHgg/edit?usp=sharing"",""งบกองทุน!cz72"")"),0)</f>
        <v>0</v>
      </c>
      <c r="J410" s="149">
        <v>0</v>
      </c>
      <c r="K410" s="146"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IFERROR(__xludf.DUMMYFUNCTION("IMPORTRANGE(""https://docs.google.com/spreadsheets/d/1C3CXT74ZlgGe6_JY_1olB1XN4rF0dxEuIIF-xsYjHgg/edit?usp=sharing"",""งบกองทุน!cy72"")"),0)</f>
        <v>0</v>
      </c>
      <c r="J411" s="149">
        <v>0</v>
      </c>
      <c r="K411" s="146"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IFERROR(__xludf.DUMMYFUNCTION("IMPORTRANGE(""https://docs.google.com/spreadsheets/d/1C3CXT74ZlgGe6_JY_1olB1XN4rF0dxEuIIF-xsYjHgg/edit?usp=sharing"",""งบกองทุน!db72"")"),0)</f>
        <v>0</v>
      </c>
      <c r="K412" s="48"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IFERROR(__xludf.DUMMYFUNCTION("IMPORTRANGE(""https://docs.google.com/spreadsheets/d/1C3CXT74ZlgGe6_JY_1olB1XN4rF0dxEuIIF-xsYjHgg/edit?usp=sharing"",""งบกองทุน!da72"")"),0)</f>
        <v>0</v>
      </c>
      <c r="K413" s="48"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IFERROR(__xludf.DUMMYFUNCTION("IMPORTRANGE(""https://docs.google.com/spreadsheets/d/1C3CXT74ZlgGe6_JY_1olB1XN4rF0dxEuIIF-xsYjHgg/edit?usp=sharing"",""งบกองทุน!dd72"")"),0)</f>
        <v>0</v>
      </c>
      <c r="K414" s="48"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IFERROR(__xludf.DUMMYFUNCTION("IMPORTRANGE(""https://docs.google.com/spreadsheets/d/1C3CXT74ZlgGe6_JY_1olB1XN4rF0dxEuIIF-xsYjHgg/edit?usp=sharing"",""งบกองทุน!dc72"")"),0)</f>
        <v>0</v>
      </c>
      <c r="K415" s="48"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IFERROR(__xludf.DUMMYFUNCTION("IMPORTRANGE(""https://docs.google.com/spreadsheets/d/1C3CXT74ZlgGe6_JY_1olB1XN4rF0dxEuIIF-xsYjHgg/edit?usp=sharing"",""งบกองทุน!df72"")"),0)</f>
        <v>0</v>
      </c>
      <c r="K416" s="48"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IFERROR(__xludf.DUMMYFUNCTION("IMPORTRANGE(""https://docs.google.com/spreadsheets/d/1C3CXT74ZlgGe6_JY_1olB1XN4rF0dxEuIIF-xsYjHgg/edit?usp=sharing"",""งบกองทุน!de72"")"),0)</f>
        <v>0</v>
      </c>
      <c r="K417" s="48"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4">
        <v>0</v>
      </c>
      <c r="J425" s="300">
        <v>0</v>
      </c>
      <c r="K425" s="301"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22</v>
      </c>
      <c r="J426" s="257">
        <f t="shared" si="91"/>
        <v>0</v>
      </c>
      <c r="K426" s="258">
        <f ca="1">IF(I426&gt;0,J426*100/I426,0)</f>
        <v>0</v>
      </c>
      <c r="L426" s="259">
        <f t="shared" ref="L426:M426" ca="1" si="92">SUM(L427:L428)</f>
        <v>34340</v>
      </c>
      <c r="M426" s="259">
        <f t="shared" si="92"/>
        <v>0</v>
      </c>
      <c r="N426" s="259">
        <f t="shared" ref="N426:N430" ca="1" si="93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34340</v>
      </c>
      <c r="M428" s="52">
        <f t="shared" si="94"/>
        <v>0</v>
      </c>
      <c r="N428" s="52">
        <f t="shared" ca="1" si="93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IFERROR(__xludf.DUMMYFUNCTION("IMPORTRANGE(""https://docs.google.com/spreadsheets/d/1C3CXT74ZlgGe6_JY_1olB1XN4rF0dxEuIIF-xsYjHgg/edit?usp=sharing"",""งบกองทุน!dn72"")"),0)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IFERROR(__xludf.DUMMYFUNCTION("IMPORTRANGE(""https://docs.google.com/spreadsheets/d/1C3CXT74ZlgGe6_JY_1olB1XN4rF0dxEuIIF-xsYjHgg/edit?usp=sharing"",""งบกองทุน!do72"")"),34340)</f>
        <v>34340</v>
      </c>
      <c r="M430" s="52">
        <f>SUM(M431:M434)</f>
        <v>0</v>
      </c>
      <c r="N430" s="52">
        <f t="shared" ca="1" si="93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0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IFERROR(__xludf.DUMMYFUNCTION("IMPORTRANGE(""https://docs.google.com/spreadsheets/d/1C3CXT74ZlgGe6_JY_1olB1XN4rF0dxEuIIF-xsYjHgg/edit?usp=sharing"",""งบกองทุน!dq72"")"),22)</f>
        <v>22</v>
      </c>
      <c r="J440" s="67">
        <v>0</v>
      </c>
      <c r="K440" s="48">
        <f t="shared" ref="K440:K441" ca="1" si="95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IFERROR(__xludf.DUMMYFUNCTION("IMPORTRANGE(""https://docs.google.com/spreadsheets/d/1C3CXT74ZlgGe6_JY_1olB1XN4rF0dxEuIIF-xsYjHgg/edit?usp=sharing"",""งบกองทุน!dr72"")"),22)</f>
        <v>22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IFERROR(__xludf.DUMMYFUNCTION("IMPORTRANGE(""https://docs.google.com/spreadsheets/d/1C3CXT74ZlgGe6_JY_1olB1XN4rF0dxEuIIF-xsYjHgg/edit?usp=sharing"",""งบกองทุน!dt72"")"),0)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IFERROR(__xludf.DUMMYFUNCTION("IMPORTRANGE(""https://docs.google.com/spreadsheets/d/1C3CXT74ZlgGe6_JY_1olB1XN4rF0dxEuIIF-xsYjHgg/edit?usp=sharing"",""งบกองทุน!du72"")"),0)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IFERROR(__xludf.DUMMYFUNCTION("IMPORTRANGE(""https://docs.google.com/spreadsheets/d/1C3CXT74ZlgGe6_JY_1olB1XN4rF0dxEuIIF-xsYjHgg/edit?usp=sharing"",""งบกองทุน!dw72"")"),0)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IFERROR(__xludf.DUMMYFUNCTION("IMPORTRANGE(""https://docs.google.com/spreadsheets/d/1C3CXT74ZlgGe6_JY_1olB1XN4rF0dxEuIIF-xsYjHgg/edit?usp=sharing"",""งบกองทุน!dx72"")"),0)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IFERROR(__xludf.DUMMYFUNCTION("IMPORTRANGE(""https://docs.google.com/spreadsheets/d/1C3CXT74ZlgGe6_JY_1olB1XN4rF0dxEuIIF-xsYjHgg/edit?usp=sharing"",""งบกองทุน!dy72"")"),0)</f>
        <v>0</v>
      </c>
      <c r="J455" s="66">
        <v>0</v>
      </c>
      <c r="K455" s="48">
        <f t="shared" ca="1" si="100"/>
        <v>0</v>
      </c>
      <c r="L455" s="60"/>
      <c r="M455" s="60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IFERROR(__xludf.DUMMYFUNCTION("IMPORTRANGE(""https://docs.google.com/spreadsheets/d/1C3CXT74ZlgGe6_JY_1olB1XN4rF0dxEuIIF-xsYjHgg/edit?usp=sharing"",""งบกองทุน!dz72"")"),0)</f>
        <v>0</v>
      </c>
      <c r="J456" s="66">
        <v>0</v>
      </c>
      <c r="K456" s="48">
        <f t="shared" ca="1" si="100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200</v>
      </c>
      <c r="J457" s="226">
        <f>+J466</f>
        <v>0</v>
      </c>
      <c r="K457" s="227">
        <f t="shared" ca="1" si="100"/>
        <v>0</v>
      </c>
      <c r="L457" s="228">
        <f t="shared" ref="L457:M457" ca="1" si="101">SUM(L458:L459)</f>
        <v>120720</v>
      </c>
      <c r="M457" s="228">
        <f t="shared" si="101"/>
        <v>0</v>
      </c>
      <c r="N457" s="228">
        <f t="shared" ref="N457:N461" ca="1" si="102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120720</v>
      </c>
      <c r="M459" s="52">
        <f t="shared" si="103"/>
        <v>0</v>
      </c>
      <c r="N459" s="52">
        <f t="shared" ca="1" si="102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IFERROR(__xludf.DUMMYFUNCTION("IMPORTRANGE(""https://docs.google.com/spreadsheets/d/1C3CXT74ZlgGe6_JY_1olB1XN4rF0dxEuIIF-xsYjHgg/edit?usp=sharing"",""งบกองทุน!Eb72"")"),0)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IFERROR(__xludf.DUMMYFUNCTION("IMPORTRANGE(""https://docs.google.com/spreadsheets/d/1C3CXT74ZlgGe6_JY_1olB1XN4rF0dxEuIIF-xsYjHgg/edit?usp=sharing"",""งบกองทุน!Ec72"")"),120720)</f>
        <v>120720</v>
      </c>
      <c r="M461" s="52">
        <f>SUM(M462:M465)</f>
        <v>0</v>
      </c>
      <c r="N461" s="52">
        <f t="shared" ca="1" si="102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IFERROR(__xludf.DUMMYFUNCTION("IMPORTRANGE(""https://docs.google.com/spreadsheets/d/1C3CXT74ZlgGe6_JY_1olB1XN4rF0dxEuIIF-xsYjHgg/edit?usp=sharing"",""งบกองทุน!Ed72"")"),200)</f>
        <v>200</v>
      </c>
      <c r="J466" s="265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0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0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IFERROR(__xludf.DUMMYFUNCTION("IMPORTRANGE(""https://docs.google.com/spreadsheets/d/1C3CXT74ZlgGe6_JY_1olB1XN4rF0dxEuIIF-xsYjHgg/edit?usp=sharing"",""งบกองทุน!Ek72"")"),0)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IFERROR(__xludf.DUMMYFUNCTION("IMPORTRANGE(""https://docs.google.com/spreadsheets/d/1C3CXT74ZlgGe6_JY_1olB1XN4rF0dxEuIIF-xsYjHgg/edit?usp=sharing"",""งบกองทุน!El72"")"),0)</f>
        <v>0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IFERROR(__xludf.DUMMYFUNCTION("IMPORTRANGE(""https://docs.google.com/spreadsheets/d/1C3CXT74ZlgGe6_JY_1olB1XN4rF0dxEuIIF-xsYjHgg/edit?usp=sharing"",""งบกองทุน!Em72"")"),0)</f>
        <v>0</v>
      </c>
      <c r="J482" s="66">
        <f ca="1">IFERROR(__xludf.DUMMYFUNCTION("IMPORTRANGE(""https://docs.google.com/spreadsheets/d/1AGHcLOeeYFL3K4b9R1dSzyJy00PE_ra89DNTVfnxSWM/edit?usp=sharing"",""รวมที่ชุมชน!G61"")"),0)</f>
        <v>0</v>
      </c>
      <c r="K482" s="48">
        <f t="shared" ref="K482:K489" ca="1" si="107">IF(I482&gt;0,J482*100/I482,0)</f>
        <v>0</v>
      </c>
      <c r="L482" s="60"/>
      <c r="M482" s="52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IFERROR(__xludf.DUMMYFUNCTION("IMPORTRANGE(""https://docs.google.com/spreadsheets/d/1C3CXT74ZlgGe6_JY_1olB1XN4rF0dxEuIIF-xsYjHgg/edit?usp=sharing"",""งบกองทุน!En72"")"),0)</f>
        <v>0</v>
      </c>
      <c r="J483" s="66">
        <f ca="1">IFERROR(__xludf.DUMMYFUNCTION("IMPORTRANGE(""https://docs.google.com/spreadsheets/d/1AGHcLOeeYFL3K4b9R1dSzyJy00PE_ra89DNTVfnxSWM/edit?usp=sharing"",""รวมที่ชุมชน!H61"")"),0)</f>
        <v>0</v>
      </c>
      <c r="K483" s="200">
        <f t="shared" ca="1" si="107"/>
        <v>0</v>
      </c>
      <c r="L483" s="60"/>
      <c r="M483" s="52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IFERROR(__xludf.DUMMYFUNCTION("IMPORTRANGE(""https://docs.google.com/spreadsheets/d/1C3CXT74ZlgGe6_JY_1olB1XN4rF0dxEuIIF-xsYjHgg/edit?usp=sharing"",""งบกองทุน!Eo72"")"),0)</f>
        <v>0</v>
      </c>
      <c r="J484" s="66">
        <f ca="1">IFERROR(__xludf.DUMMYFUNCTION("IMPORTRANGE(""https://docs.google.com/spreadsheets/d/1AGHcLOeeYFL3K4b9R1dSzyJy00PE_ra89DNTVfnxSWM/edit?usp=sharing"",""รวมที่ชุมชน!J61"")"),0)</f>
        <v>0</v>
      </c>
      <c r="K484" s="48">
        <f t="shared" ca="1" si="107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IFERROR(__xludf.DUMMYFUNCTION("IMPORTRANGE(""https://docs.google.com/spreadsheets/d/1C3CXT74ZlgGe6_JY_1olB1XN4rF0dxEuIIF-xsYjHgg/edit?usp=sharing"",""งบกองทุน!Ep72"")"),0)</f>
        <v>0</v>
      </c>
      <c r="J485" s="66">
        <f ca="1">IFERROR(__xludf.DUMMYFUNCTION("IMPORTRANGE(""https://docs.google.com/spreadsheets/d/1AGHcLOeeYFL3K4b9R1dSzyJy00PE_ra89DNTVfnxSWM/edit?usp=sharing"",""รวมที่ชุมชน!L61"")"),0)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IFERROR(__xludf.DUMMYFUNCTION("IMPORTRANGE(""https://docs.google.com/spreadsheets/d/1C3CXT74ZlgGe6_JY_1olB1XN4rF0dxEuIIF-xsYjHgg/edit?usp=sharing"",""งบกองทุน!Eq72"")"),0)</f>
        <v>0</v>
      </c>
      <c r="J486" s="66">
        <f ca="1">IFERROR(__xludf.DUMMYFUNCTION("IMPORTRANGE(""https://docs.google.com/spreadsheets/d/1AGHcLOeeYFL3K4b9R1dSzyJy00PE_ra89DNTVfnxSWM/edit?usp=sharing"",""รวมที่ชุมชน!S61"")"),0)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IFERROR(__xludf.DUMMYFUNCTION("IMPORTRANGE(""https://docs.google.com/spreadsheets/d/1C3CXT74ZlgGe6_JY_1olB1XN4rF0dxEuIIF-xsYjHgg/edit?usp=sharing"",""งบกองทุน!Er72"")"),0)</f>
        <v>0</v>
      </c>
      <c r="J487" s="66">
        <f ca="1">IFERROR(__xludf.DUMMYFUNCTION("IMPORTRANGE(""https://docs.google.com/spreadsheets/d/1AGHcLOeeYFL3K4b9R1dSzyJy00PE_ra89DNTVfnxSWM/edit?usp=sharing"",""รวมที่ชุมชน!U61"")"),0)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IFERROR(__xludf.DUMMYFUNCTION("IMPORTRANGE(""https://docs.google.com/spreadsheets/d/1C3CXT74ZlgGe6_JY_1olB1XN4rF0dxEuIIF-xsYjHgg/edit?usp=sharing"",""งบกองทุน!Es72"")"),0)</f>
        <v>0</v>
      </c>
      <c r="J488" s="66">
        <f ca="1">IFERROR(__xludf.DUMMYFUNCTION("IMPORTRANGE(""https://docs.google.com/spreadsheets/d/1AGHcLOeeYFL3K4b9R1dSzyJy00PE_ra89DNTVfnxSWM/edit?usp=sharing"",""รวมที่ชุมชน!V61"")"),0)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IFERROR(__xludf.DUMMYFUNCTION("IMPORTRANGE(""https://docs.google.com/spreadsheets/d/1C3CXT74ZlgGe6_JY_1olB1XN4rF0dxEuIIF-xsYjHgg/edit?usp=sharing"",""งบกองทุน!Et72"")"),0)</f>
        <v>0</v>
      </c>
      <c r="J489" s="111">
        <f ca="1">IFERROR(__xludf.DUMMYFUNCTION("IMPORTRANGE(""https://docs.google.com/spreadsheets/d/1AGHcLOeeYFL3K4b9R1dSzyJy00PE_ra89DNTVfnxSWM/edit?usp=sharing"",""รวมที่ชุมชน!X61"")"),0)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50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4550</v>
      </c>
      <c r="M490" s="259">
        <f>SUM(M491:M492)</f>
        <v>0</v>
      </c>
      <c r="N490" s="259">
        <f t="shared" ref="N490:N494" ca="1" si="109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4550</v>
      </c>
      <c r="M492" s="52">
        <f t="shared" si="110"/>
        <v>0</v>
      </c>
      <c r="N492" s="52">
        <f t="shared" ca="1" si="109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IFERROR(__xludf.DUMMYFUNCTION("IMPORTRANGE(""https://docs.google.com/spreadsheets/d/1C3CXT74ZlgGe6_JY_1olB1XN4rF0dxEuIIF-xsYjHgg/edit?usp=sharing"",""งบกองทุน!Ev72"")"),0)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IFERROR(__xludf.DUMMYFUNCTION("IMPORTRANGE(""https://docs.google.com/spreadsheets/d/1C3CXT74ZlgGe6_JY_1olB1XN4rF0dxEuIIF-xsYjHgg/edit?usp=sharing"",""งบกองทุน!Ew72"")"),4550)</f>
        <v>4550</v>
      </c>
      <c r="M494" s="52">
        <f>SUM(M495:M498)</f>
        <v>0</v>
      </c>
      <c r="N494" s="52">
        <f t="shared" ca="1" si="109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IFERROR(__xludf.DUMMYFUNCTION("IMPORTRANGE(""https://docs.google.com/spreadsheets/d/1C3CXT74ZlgGe6_JY_1olB1XN4rF0dxEuIIF-xsYjHgg/edit?usp=sharing"",""งบกองทุน!EZ72"")"),50)</f>
        <v>50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IFERROR(__xludf.DUMMYFUNCTION("IMPORTRANGE(""https://docs.google.com/spreadsheets/d/1C3CXT74ZlgGe6_JY_1olB1XN4rF0dxEuIIF-xsYjHgg/edit?usp=sharing"",""งบกองทุน!ff72"")"),0)</f>
        <v>0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IFERROR(__xludf.DUMMYFUNCTION("IMPORTRANGE(""https://docs.google.com/spreadsheets/d/1muirlRDkqiswvy_NRZ3Yh955hx-PF6_HhssUYiSJj8o/edit?usp=sharing"",""กองทุน!D72"")"),2198052.65)</f>
        <v>2198052.65</v>
      </c>
      <c r="J521" s="199">
        <f ca="1">IFERROR(__xludf.DUMMYFUNCTION("IMPORTRANGE(""https://docs.google.com/spreadsheets/d/1muirlRDkqiswvy_NRZ3Yh955hx-PF6_HhssUYiSJj8o/edit?usp=sharing"",""กองทุน!F72"")"),16500)</f>
        <v>16500</v>
      </c>
      <c r="K521" s="200">
        <f t="shared" ref="K521:K528" ca="1" si="116">IF(I521&gt;0,J521*100/I521,0)</f>
        <v>0.75066445746875088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IFERROR(__xludf.DUMMYFUNCTION("IMPORTRANGE(""https://docs.google.com/spreadsheets/d/1muirlRDkqiswvy_NRZ3Yh955hx-PF6_HhssUYiSJj8o/edit?usp=sharing"",""กองทุน!C72"")"),144)</f>
        <v>144</v>
      </c>
      <c r="J522" s="199">
        <f ca="1">IFERROR(__xludf.DUMMYFUNCTION("IMPORTRANGE(""https://docs.google.com/spreadsheets/d/1muirlRDkqiswvy_NRZ3Yh955hx-PF6_HhssUYiSJj8o/edit?usp=sharing"",""กองทุน!E72"")"),1)</f>
        <v>1</v>
      </c>
      <c r="K522" s="200">
        <f t="shared" ca="1" si="116"/>
        <v>0.69444444444444442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IFERROR(__xludf.DUMMYFUNCTION("IMPORTRANGE(""https://docs.google.com/spreadsheets/d/1muirlRDkqiswvy_NRZ3Yh955hx-PF6_HhssUYiSJj8o/edit?usp=sharing"",""กองทุน!I72"")"),1625986.59)</f>
        <v>1625986.59</v>
      </c>
      <c r="J523" s="199">
        <f ca="1">IFERROR(__xludf.DUMMYFUNCTION("IMPORTRANGE(""https://docs.google.com/spreadsheets/d/1muirlRDkqiswvy_NRZ3Yh955hx-PF6_HhssUYiSJj8o/edit?usp=sharing"",""กองทุน!K72"")"),55709.08)</f>
        <v>55709.08</v>
      </c>
      <c r="K523" s="200">
        <f t="shared" ca="1" si="116"/>
        <v>3.4261709378550287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IFERROR(__xludf.DUMMYFUNCTION("IMPORTRANGE(""https://docs.google.com/spreadsheets/d/1muirlRDkqiswvy_NRZ3Yh955hx-PF6_HhssUYiSJj8o/edit?usp=sharing"",""กองทุน!H72"")"),52)</f>
        <v>52</v>
      </c>
      <c r="J524" s="199">
        <f ca="1">IFERROR(__xludf.DUMMYFUNCTION("IMPORTRANGE(""https://docs.google.com/spreadsheets/d/1muirlRDkqiswvy_NRZ3Yh955hx-PF6_HhssUYiSJj8o/edit?usp=sharing"",""กองทุน!J72"")"),6)</f>
        <v>6</v>
      </c>
      <c r="K524" s="200">
        <f t="shared" ca="1" si="116"/>
        <v>11.538461538461538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IFERROR(__xludf.DUMMYFUNCTION("IMPORTRANGE(""https://docs.google.com/spreadsheets/d/1muirlRDkqiswvy_NRZ3Yh955hx-PF6_HhssUYiSJj8o/edit?usp=sharing"",""กองทุน!N72"")"),0)</f>
        <v>0</v>
      </c>
      <c r="J525" s="199">
        <f ca="1">IFERROR(__xludf.DUMMYFUNCTION("IMPORTRANGE(""https://docs.google.com/spreadsheets/d/1muirlRDkqiswvy_NRZ3Yh955hx-PF6_HhssUYiSJj8o/edit?usp=sharing"",""กองทุน!P72"")"),0)</f>
        <v>0</v>
      </c>
      <c r="K525" s="200">
        <f t="shared" ca="1" si="116"/>
        <v>0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IFERROR(__xludf.DUMMYFUNCTION("IMPORTRANGE(""https://docs.google.com/spreadsheets/d/1muirlRDkqiswvy_NRZ3Yh955hx-PF6_HhssUYiSJj8o/edit?usp=sharing"",""กองทุน!M72"")"),0)</f>
        <v>0</v>
      </c>
      <c r="J526" s="199">
        <f ca="1">IFERROR(__xludf.DUMMYFUNCTION("IMPORTRANGE(""https://docs.google.com/spreadsheets/d/1muirlRDkqiswvy_NRZ3Yh955hx-PF6_HhssUYiSJj8o/edit?usp=sharing"",""กองทุน!O72"")"),0)</f>
        <v>0</v>
      </c>
      <c r="K526" s="200">
        <f t="shared" ca="1" si="116"/>
        <v>0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IFERROR(__xludf.DUMMYFUNCTION("IMPORTRANGE(""https://docs.google.com/spreadsheets/d/1muirlRDkqiswvy_NRZ3Yh955hx-PF6_HhssUYiSJj8o/edit?usp=sharing"",""กองทุน!S72"")"),1450000)</f>
        <v>1450000</v>
      </c>
      <c r="J527" s="199">
        <f ca="1">IFERROR(__xludf.DUMMYFUNCTION("IMPORTRANGE(""https://docs.google.com/spreadsheets/d/1muirlRDkqiswvy_NRZ3Yh955hx-PF6_HhssUYiSJj8o/edit?usp=sharing"",""กองทุน!U72"")"),0)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IFERROR(__xludf.DUMMYFUNCTION("IMPORTRANGE(""https://docs.google.com/spreadsheets/d/1muirlRDkqiswvy_NRZ3Yh955hx-PF6_HhssUYiSJj8o/edit?usp=sharing"",""กองทุน!R72"")"),29)</f>
        <v>29</v>
      </c>
      <c r="J528" s="324">
        <f ca="1">IFERROR(__xludf.DUMMYFUNCTION("IMPORTRANGE(""https://docs.google.com/spreadsheets/d/1muirlRDkqiswvy_NRZ3Yh955hx-PF6_HhssUYiSJj8o/edit?usp=sharing"",""กองทุน!T72"")"),0)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A5" sqref="A5:G5"/>
      <selection pane="bottomLeft" activeCell="A5" sqref="A5:G5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68" t="s">
        <v>0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</row>
    <row r="2" spans="1:14" ht="18" customHeight="1" x14ac:dyDescent="0.55000000000000004">
      <c r="A2" s="368" t="s">
        <v>238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</row>
    <row r="3" spans="1:14" ht="18" customHeight="1" x14ac:dyDescent="0.55000000000000004">
      <c r="A3" s="368" t="s">
        <v>247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70" t="s">
        <v>4</v>
      </c>
      <c r="B5" s="371"/>
      <c r="C5" s="371"/>
      <c r="D5" s="371"/>
      <c r="E5" s="371"/>
      <c r="F5" s="371"/>
      <c r="G5" s="372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1320105</v>
      </c>
      <c r="M6" s="16">
        <f t="shared" si="0"/>
        <v>93302.75</v>
      </c>
      <c r="N6" s="17">
        <f ca="1">IF(L6&gt;0,M6*100/L6,0)</f>
        <v>7.06782793792918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66"/>
      <c r="K12" s="232"/>
      <c r="L12" s="52">
        <f ca="1">IFERROR(__xludf.DUMMYFUNCTION("IMPORTRANGE(""https://docs.google.com/spreadsheets/d/1C3CXT74ZlgGe6_JY_1olB1XN4rF0dxEuIIF-xsYjHgg/edit?usp=sharing"",""พรบ!C73"")"),0)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66"/>
      <c r="K13" s="232"/>
      <c r="L13" s="52">
        <f ca="1">IFERROR(__xludf.DUMMYFUNCTION("IMPORTRANGE(""https://docs.google.com/spreadsheets/d/1C3CXT74ZlgGe6_JY_1olB1XN4rF0dxEuIIF-xsYjHgg/edit?usp=sharing"",""พรบ!D73"")"),0)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66"/>
      <c r="K14" s="232"/>
      <c r="L14" s="52">
        <f ca="1">IFERROR(__xludf.DUMMYFUNCTION("IMPORTRANGE(""https://docs.google.com/spreadsheets/d/1C3CXT74ZlgGe6_JY_1olB1XN4rF0dxEuIIF-xsYjHgg/edit?usp=sharing"",""พรบ!E73"")"),0)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28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IFERROR(__xludf.DUMMYFUNCTION("IMPORTRANGE(""https://docs.google.com/spreadsheets/d/1C3CXT74ZlgGe6_JY_1olB1XN4rF0dxEuIIF-xsYjHgg/edit?usp=sharing"",""พรบ!H73"")"),0)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IFERROR(__xludf.DUMMYFUNCTION("IMPORTRANGE(""https://docs.google.com/spreadsheets/d/1C3CXT74ZlgGe6_JY_1olB1XN4rF0dxEuIIF-xsYjHgg/edit?usp=sharing"",""พรบ!I73"")"),0)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IFERROR(__xludf.DUMMYFUNCTION("IMPORTRANGE(""https://docs.google.com/spreadsheets/d/1C3CXT74ZlgGe6_JY_1olB1XN4rF0dxEuIIF-xsYjHgg/edit?usp=sharing"",""พรบ!J73"")"),0)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IFERROR(__xludf.DUMMYFUNCTION("IMPORTRANGE(""https://docs.google.com/spreadsheets/d/1C3CXT74ZlgGe6_JY_1olB1XN4rF0dxEuIIF-xsYjHgg/edit?usp=sharing"",""พรบ!K73"")"),0)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IFERROR(__xludf.DUMMYFUNCTION("IMPORTRANGE(""https://docs.google.com/spreadsheets/d/1C3CXT74ZlgGe6_JY_1olB1XN4rF0dxEuIIF-xsYjHgg/edit?usp=sharing"",""พรบ!L73"")"),0)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IFERROR(__xludf.DUMMYFUNCTION("IMPORTRANGE(""https://docs.google.com/spreadsheets/d/1C3CXT74ZlgGe6_JY_1olB1XN4rF0dxEuIIF-xsYjHgg/edit?usp=sharing"",""พรบ!M73"")"),0)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IFERROR(__xludf.DUMMYFUNCTION("IMPORTRANGE(""https://docs.google.com/spreadsheets/d/1C3CXT74ZlgGe6_JY_1olB1XN4rF0dxEuIIF-xsYjHgg/edit?usp=sharing"",""พรบ!N73"")"),0)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6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6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131980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2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IFERROR(__xludf.DUMMYFUNCTION("IMPORTRANGE(""https://docs.google.com/spreadsheets/d/1C3CXT74ZlgGe6_JY_1olB1XN4rF0dxEuIIF-xsYjHgg/edit?usp=sharing"",""พรบ!O73"")"),131980)</f>
        <v>131980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IFERROR(__xludf.DUMMYFUNCTION("IMPORTRANGE(""https://docs.google.com/spreadsheets/d/1C3CXT74ZlgGe6_JY_1olB1XN4rF0dxEuIIF-xsYjHgg/edit?usp=sharing"",""พรบ!P73"")"),0)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47"/>
      <c r="K37" s="48"/>
      <c r="L37" s="52">
        <f ca="1">IFERROR(__xludf.DUMMYFUNCTION("IMPORTRANGE(""https://docs.google.com/spreadsheets/d/1C3CXT74ZlgGe6_JY_1olB1XN4rF0dxEuIIF-xsYjHgg/edit?usp=sharing"",""พรบ!Q73"")"),131980)</f>
        <v>131980</v>
      </c>
      <c r="M37" s="53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47"/>
      <c r="K38" s="48"/>
      <c r="L38" s="60"/>
      <c r="M38" s="60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7">
        <v>0</v>
      </c>
      <c r="K39" s="48"/>
      <c r="L39" s="60"/>
      <c r="M39" s="60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7">
        <v>1</v>
      </c>
      <c r="K40" s="48"/>
      <c r="L40" s="60" t="s">
        <v>21</v>
      </c>
      <c r="M40" s="60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7">
        <v>1</v>
      </c>
      <c r="K41" s="48"/>
      <c r="L41" s="60"/>
      <c r="M41" s="60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7">
        <v>1</v>
      </c>
      <c r="K42" s="48"/>
      <c r="L42" s="60"/>
      <c r="M42" s="60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IFERROR(__xludf.DUMMYFUNCTION("IMPORTRANGE(""https://docs.google.com/spreadsheets/d/1C3CXT74ZlgGe6_JY_1olB1XN4rF0dxEuIIF-xsYjHgg/edit?usp=sharing"",""พรบ!R73"")"),1)</f>
        <v>1</v>
      </c>
      <c r="J43" s="67">
        <v>0</v>
      </c>
      <c r="K43" s="48">
        <f t="shared" ref="K43:K48" ca="1" si="11">IF(I43&gt;0,J43*100/I43,0)</f>
        <v>0</v>
      </c>
      <c r="L43" s="60"/>
      <c r="M43" s="60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IFERROR(__xludf.DUMMYFUNCTION("IMPORTRANGE(""https://docs.google.com/spreadsheets/d/1C3CXT74ZlgGe6_JY_1olB1XN4rF0dxEuIIF-xsYjHgg/edit?usp=sharing"",""พรบ!S73"")"),6)</f>
        <v>6</v>
      </c>
      <c r="J44" s="67">
        <v>0</v>
      </c>
      <c r="K44" s="48">
        <f t="shared" ca="1" si="11"/>
        <v>0</v>
      </c>
      <c r="L44" s="60"/>
      <c r="M44" s="60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IFERROR(__xludf.DUMMYFUNCTION("IMPORTRANGE(""https://docs.google.com/spreadsheets/d/1C3CXT74ZlgGe6_JY_1olB1XN4rF0dxEuIIF-xsYjHgg/edit?usp=sharing"",""พรบ!T73"")"),6)</f>
        <v>6</v>
      </c>
      <c r="J45" s="67">
        <v>0</v>
      </c>
      <c r="K45" s="48">
        <f t="shared" ca="1" si="11"/>
        <v>0</v>
      </c>
      <c r="L45" s="60"/>
      <c r="M45" s="60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IFERROR(__xludf.DUMMYFUNCTION("IMPORTRANGE(""https://docs.google.com/spreadsheets/d/1C3CXT74ZlgGe6_JY_1olB1XN4rF0dxEuIIF-xsYjHgg/edit?usp=sharing"",""พรบ!U73"")"),6)</f>
        <v>6</v>
      </c>
      <c r="J46" s="67">
        <v>0</v>
      </c>
      <c r="K46" s="48">
        <f t="shared" ca="1" si="11"/>
        <v>0</v>
      </c>
      <c r="L46" s="60"/>
      <c r="M46" s="60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IFERROR(__xludf.DUMMYFUNCTION("IMPORTRANGE(""https://docs.google.com/spreadsheets/d/1C3CXT74ZlgGe6_JY_1olB1XN4rF0dxEuIIF-xsYjHgg/edit?usp=sharing"",""พรบ!V73"")"),6)</f>
        <v>6</v>
      </c>
      <c r="J47" s="67">
        <v>0</v>
      </c>
      <c r="K47" s="48">
        <f t="shared" ca="1" si="11"/>
        <v>0</v>
      </c>
      <c r="L47" s="60"/>
      <c r="M47" s="60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IFERROR(__xludf.DUMMYFUNCTION("IMPORTRANGE(""https://docs.google.com/spreadsheets/d/1C3CXT74ZlgGe6_JY_1olB1XN4rF0dxEuIIF-xsYjHgg/edit?usp=sharing"",""พรบ!W73"")"),2)</f>
        <v>2</v>
      </c>
      <c r="J48" s="67">
        <v>0</v>
      </c>
      <c r="K48" s="48">
        <f t="shared" ca="1" si="11"/>
        <v>0</v>
      </c>
      <c r="L48" s="60"/>
      <c r="M48" s="60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7"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84"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IFERROR(__xludf.DUMMYFUNCTION("IMPORTRANGE(""https://docs.google.com/spreadsheets/d/1C3CXT74ZlgGe6_JY_1olB1XN4rF0dxEuIIF-xsYjHgg/edit?usp=sharing"",""พรบ!Y73"")"),0)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IFERROR(__xludf.DUMMYFUNCTION("IMPORTRANGE(""https://docs.google.com/spreadsheets/d/1C3CXT74ZlgGe6_JY_1olB1XN4rF0dxEuIIF-xsYjHgg/edit?usp=sharing"",""พรบ!Z73"")"),0)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246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IFERROR(__xludf.DUMMYFUNCTION("IMPORTRANGE(""https://docs.google.com/spreadsheets/d/1C3CXT74ZlgGe6_JY_1olB1XN4rF0dxEuIIF-xsYjHgg/edit?usp=sharing"",""พรบ!AA73"")"),0)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7">
        <v>0</v>
      </c>
      <c r="K65" s="358"/>
      <c r="L65" s="359"/>
      <c r="M65" s="359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58500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58500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IFERROR(__xludf.DUMMYFUNCTION("IMPORTRANGE(""https://docs.google.com/spreadsheets/d/1C3CXT74ZlgGe6_JY_1olB1XN4rF0dxEuIIF-xsYjHgg/edit?usp=sharing"",""พรบ!AD73"")"),0)</f>
        <v>0</v>
      </c>
      <c r="M72" s="52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58500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IFERROR(__xludf.DUMMYFUNCTION("IMPORTRANGE(""https://docs.google.com/spreadsheets/d/1C3CXT74ZlgGe6_JY_1olB1XN4rF0dxEuIIF-xsYjHgg/edit?usp=sharing"",""พรบ!AF73"")"),7500)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IFERROR(__xludf.DUMMYFUNCTION("IMPORTRANGE(""https://docs.google.com/spreadsheets/d/1C3CXT74ZlgGe6_JY_1olB1XN4rF0dxEuIIF-xsYjHgg/edit?usp=sharing"",""พรบ!AG73"")"),4)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3</v>
      </c>
      <c r="J89" s="149">
        <f t="shared" si="21"/>
        <v>0</v>
      </c>
      <c r="K89" s="150">
        <f ca="1">IF(I89&gt;0,J89*100/I89,0)</f>
        <v>0</v>
      </c>
      <c r="L89" s="147">
        <f ca="1">L90+L91</f>
        <v>42000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42000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IFERROR(__xludf.DUMMYFUNCTION("IMPORTRANGE(""https://docs.google.com/spreadsheets/d/1C3CXT74ZlgGe6_JY_1olB1XN4rF0dxEuIIF-xsYjHgg/edit?usp=sharing"",""พรบ!AH73"")"),42000)</f>
        <v>42000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IFERROR(__xludf.DUMMYFUNCTION("IMPORTRANGE(""https://docs.google.com/spreadsheets/d/1C3CXT74ZlgGe6_JY_1olB1XN4rF0dxEuIIF-xsYjHgg/edit?usp=sharing"",""พรบ!AI73"")"),3)</f>
        <v>3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IFERROR(__xludf.DUMMYFUNCTION("IMPORTRANGE(""https://docs.google.com/spreadsheets/d/1C3CXT74ZlgGe6_JY_1olB1XN4rF0dxEuIIF-xsYjHgg/edit?usp=sharing"",""กปร!C73"")"),36000)</f>
        <v>36000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IFERROR(__xludf.DUMMYFUNCTION("IMPORTRANGE(""https://docs.google.com/spreadsheets/d/1C3CXT74ZlgGe6_JY_1olB1XN4rF0dxEuIIF-xsYjHgg/edit?usp=sharing"",""พรบ!AJ73"")"),0)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IFERROR(__xludf.DUMMYFUNCTION("IMPORTRANGE(""https://docs.google.com/spreadsheets/d/1C3CXT74ZlgGe6_JY_1olB1XN4rF0dxEuIIF-xsYjHgg/edit?usp=sharing"",""พรบ!AK73"")"),0)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IFERROR(__xludf.DUMMYFUNCTION("IMPORTRANGE(""https://docs.google.com/spreadsheets/d/1C3CXT74ZlgGe6_JY_1olB1XN4rF0dxEuIIF-xsYjHgg/edit?usp=sharing"",""กปร!D73"")"),0)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IFERROR(__xludf.DUMMYFUNCTION("IMPORTRANGE(""https://docs.google.com/spreadsheets/d/1C3CXT74ZlgGe6_JY_1olB1XN4rF0dxEuIIF-xsYjHgg/edit?usp=sharing"",""พรบ!AL73"")"),0)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IFERROR(__xludf.DUMMYFUNCTION("IMPORTRANGE(""https://docs.google.com/spreadsheets/d/1C3CXT74ZlgGe6_JY_1olB1XN4rF0dxEuIIF-xsYjHgg/edit?usp=sharing"",""กปร!E73"")"),0)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6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20000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9000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9000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IFERROR(__xludf.DUMMYFUNCTION("IMPORTRANGE(""https://docs.google.com/spreadsheets/d/1C3CXT74ZlgGe6_JY_1olB1XN4rF0dxEuIIF-xsYjHgg/edit?usp=sharing"",""พรบ!AM73"")"),9000)</f>
        <v>9000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1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IFERROR(__xludf.DUMMYFUNCTION("IMPORTRANGE(""https://docs.google.com/spreadsheets/d/1C3CXT74ZlgGe6_JY_1olB1XN4rF0dxEuIIF-xsYjHgg/edit?usp=sharing"",""พรบ!AO73"")"),20000)</f>
        <v>20000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IFERROR(__xludf.DUMMYFUNCTION("IMPORTRANGE(""https://docs.google.com/spreadsheets/d/1C3CXT74ZlgGe6_JY_1olB1XN4rF0dxEuIIF-xsYjHgg/edit?usp=sharing"",""พรบ!AP73"")"),20000)</f>
        <v>20000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IFERROR(__xludf.DUMMYFUNCTION("IMPORTRANGE(""https://docs.google.com/spreadsheets/d/1C3CXT74ZlgGe6_JY_1olB1XN4rF0dxEuIIF-xsYjHgg/edit?usp=sharing"",""กปร!F73"")"),5000)</f>
        <v>5000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IFERROR(__xludf.DUMMYFUNCTION("IMPORTRANGE(""https://docs.google.com/spreadsheets/d/1C3CXT74ZlgGe6_JY_1olB1XN4rF0dxEuIIF-xsYjHgg/edit?usp=sharing"",""พรบ!AQ73"")"),0)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IFERROR(__xludf.DUMMYFUNCTION("IMPORTRANGE(""https://docs.google.com/spreadsheets/d/1C3CXT74ZlgGe6_JY_1olB1XN4rF0dxEuIIF-xsYjHgg/edit?usp=sharing"",""กปร!G73"")"),0)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IFERROR(__xludf.DUMMYFUNCTION("IMPORTRANGE(""https://docs.google.com/spreadsheets/d/1C3CXT74ZlgGe6_JY_1olB1XN4rF0dxEuIIF-xsYjHgg/edit?usp=sharing"",""พรบ!AR73"")"),0)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IFERROR(__xludf.DUMMYFUNCTION("IMPORTRANGE(""https://docs.google.com/spreadsheets/d/1C3CXT74ZlgGe6_JY_1olB1XN4rF0dxEuIIF-xsYjHgg/edit?usp=sharing"",""พรบ!AS73"")"),0)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IFERROR(__xludf.DUMMYFUNCTION("IMPORTRANGE(""https://docs.google.com/spreadsheets/d/1C3CXT74ZlgGe6_JY_1olB1XN4rF0dxEuIIF-xsYjHgg/edit?usp=sharing"",""กปร!H73"")"),0)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IFERROR(__xludf.DUMMYFUNCTION("IMPORTRANGE(""https://docs.google.com/spreadsheets/d/1C3CXT74ZlgGe6_JY_1olB1XN4rF0dxEuIIF-xsYjHgg/edit?usp=sharing"",""พรบ!AT73"")"),0)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IFERROR(__xludf.DUMMYFUNCTION("IMPORTRANGE(""https://docs.google.com/spreadsheets/d/1C3CXT74ZlgGe6_JY_1olB1XN4rF0dxEuIIF-xsYjHgg/edit?usp=sharing"",""กปร!I73"")"),0)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IFERROR(__xludf.DUMMYFUNCTION("IMPORTRANGE(""https://docs.google.com/spreadsheets/d/1C3CXT74ZlgGe6_JY_1olB1XN4rF0dxEuIIF-xsYjHgg/edit?usp=sharing"",""พรบ!AU73"")"),0)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IFERROR(__xludf.DUMMYFUNCTION("IMPORTRANGE(""https://docs.google.com/spreadsheets/d/1C3CXT74ZlgGe6_JY_1olB1XN4rF0dxEuIIF-xsYjHgg/edit?usp=sharing"",""กปร!J73"")"),0)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7">
        <v>0</v>
      </c>
      <c r="K143" s="358"/>
      <c r="L143" s="359"/>
      <c r="M143" s="359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15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21125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21125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IFERROR(__xludf.DUMMYFUNCTION("IMPORTRANGE(""https://docs.google.com/spreadsheets/d/1C3CXT74ZlgGe6_JY_1olB1XN4rF0dxEuIIF-xsYjHgg/edit?usp=sharing"",""พรบ!AY73"")"),21125)</f>
        <v>21125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15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IFERROR(__xludf.DUMMYFUNCTION("IMPORTRANGE(""https://docs.google.com/spreadsheets/d/1C3CXT74ZlgGe6_JY_1olB1XN4rF0dxEuIIF-xsYjHgg/edit?usp=sharing"",""พรบ!BA73"")"),15)</f>
        <v>15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66"/>
      <c r="K171" s="232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66"/>
      <c r="K172" s="232"/>
      <c r="L172" s="52">
        <f ca="1">IFERROR(__xludf.DUMMYFUNCTION("IMPORTRANGE(""https://docs.google.com/spreadsheets/d/1C3CXT74ZlgGe6_JY_1olB1XN4rF0dxEuIIF-xsYjHgg/edit?usp=sharing"",""พรบ!BD73"")"),0)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66"/>
      <c r="K173" s="232"/>
      <c r="L173" s="52">
        <f ca="1">IFERROR(__xludf.DUMMYFUNCTION("IMPORTRANGE(""https://docs.google.com/spreadsheets/d/1C3CXT74ZlgGe6_JY_1olB1XN4rF0dxEuIIF-xsYjHgg/edit?usp=sharing"",""พรบ!BE73"")"),0)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IFERROR(__xludf.DUMMYFUNCTION("IMPORTRANGE(""https://docs.google.com/spreadsheets/d/1C3CXT74ZlgGe6_JY_1olB1XN4rF0dxEuIIF-xsYjHgg/edit?usp=sharing"",""พรบ!BF73"")"),0)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IFERROR(__xludf.DUMMYFUNCTION("IMPORTRANGE(""https://docs.google.com/spreadsheets/d/1C3CXT74ZlgGe6_JY_1olB1XN4rF0dxEuIIF-xsYjHgg/edit?usp=sharing"",""พรบ!BG73"")"),0)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IFERROR(__xludf.DUMMYFUNCTION("IMPORTRANGE(""https://docs.google.com/spreadsheets/d/1C3CXT74ZlgGe6_JY_1olB1XN4rF0dxEuIIF-xsYjHgg/edit?usp=sharing"",""พรบ!BH73"")"),0)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IFERROR(__xludf.DUMMYFUNCTION("IMPORTRANGE(""https://docs.google.com/spreadsheets/d/1C3CXT74ZlgGe6_JY_1olB1XN4rF0dxEuIIF-xsYjHgg/edit?usp=sharing"",""พรบ!BI73"")"),0)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7">
        <v>0</v>
      </c>
      <c r="K184" s="358"/>
      <c r="L184" s="359"/>
      <c r="M184" s="359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15</v>
      </c>
      <c r="J185" s="177">
        <f>+J195</f>
        <v>0</v>
      </c>
      <c r="K185" s="178">
        <f ca="1">IF(I185&gt;0,J185*100/I185,0)</f>
        <v>0</v>
      </c>
      <c r="L185" s="179">
        <f ca="1">L186+L187</f>
        <v>187200</v>
      </c>
      <c r="M185" s="179">
        <f>SUM(M186:M187)</f>
        <v>10500</v>
      </c>
      <c r="N185" s="178">
        <f ca="1">IF(L185&gt;0,M185*100/L185,0)</f>
        <v>5.6089743589743586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187200</v>
      </c>
      <c r="M187" s="49">
        <f t="shared" si="43"/>
        <v>10500</v>
      </c>
      <c r="N187" s="49">
        <f t="shared" ca="1" si="42"/>
        <v>5.6089743589743586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IFERROR(__xludf.DUMMYFUNCTION("IMPORTRANGE(""https://docs.google.com/spreadsheets/d/1C3CXT74ZlgGe6_JY_1olB1XN4rF0dxEuIIF-xsYjHgg/edit?usp=sharing"",""พรบ!BK73"")"),132000)</f>
        <v>132000</v>
      </c>
      <c r="M188" s="53">
        <v>10500</v>
      </c>
      <c r="N188" s="52">
        <f t="shared" ca="1" si="42"/>
        <v>7.9545454545454541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IFERROR(__xludf.DUMMYFUNCTION("IMPORTRANGE(""https://docs.google.com/spreadsheets/d/1C3CXT74ZlgGe6_JY_1olB1XN4rF0dxEuIIF-xsYjHgg/edit?usp=sharing"",""พรบ!BL73"")"),55200)</f>
        <v>55200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0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1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1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IFERROR(__xludf.DUMMYFUNCTION("IMPORTRANGE(""https://docs.google.com/spreadsheets/d/1C3CXT74ZlgGe6_JY_1olB1XN4rF0dxEuIIF-xsYjHgg/edit?usp=sharing"",""พรบ!BM73"")"),15)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66" t="s">
        <v>21</v>
      </c>
      <c r="J200" s="66"/>
      <c r="K200" s="232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66"/>
      <c r="J201" s="66"/>
      <c r="K201" s="232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66"/>
      <c r="J202" s="66"/>
      <c r="K202" s="232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66"/>
      <c r="J203" s="66"/>
      <c r="K203" s="232"/>
      <c r="L203" s="52">
        <f ca="1">IFERROR(__xludf.DUMMYFUNCTION("IMPORTRANGE(""https://docs.google.com/spreadsheets/d/1C3CXT74ZlgGe6_JY_1olB1XN4rF0dxEuIIF-xsYjHgg/edit?usp=sharing"",""พรบ!BP73"")"),0)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66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IFERROR(__xludf.DUMMYFUNCTION("IMPORTRANGE(""https://docs.google.com/spreadsheets/d/1C3CXT74ZlgGe6_JY_1olB1XN4rF0dxEuIIF-xsYjHgg/edit?usp=sharing"",""พรบ!BQ73"")"),0)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IFERROR(__xludf.DUMMYFUNCTION("IMPORTRANGE(""https://docs.google.com/spreadsheets/d/1C3CXT74ZlgGe6_JY_1olB1XN4rF0dxEuIIF-xsYjHgg/edit?usp=sharing"",""พรบ!BR73"")"),0)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47"/>
      <c r="K218" s="48"/>
      <c r="L218" s="52">
        <f ca="1">IFERROR(__xludf.DUMMYFUNCTION("IMPORTRANGE(""https://docs.google.com/spreadsheets/d/1C3CXT74ZlgGe6_JY_1olB1XN4rF0dxEuIIF-xsYjHgg/edit?usp=sharing"",""พรบ!BU73"")"),0)</f>
        <v>0</v>
      </c>
      <c r="M218" s="53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47"/>
      <c r="K219" s="48"/>
      <c r="L219" s="60"/>
      <c r="M219" s="60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7">
        <v>0</v>
      </c>
      <c r="K220" s="48"/>
      <c r="L220" s="60"/>
      <c r="M220" s="60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7">
        <v>0</v>
      </c>
      <c r="K221" s="48"/>
      <c r="L221" s="60" t="s">
        <v>21</v>
      </c>
      <c r="M221" s="60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7">
        <v>0</v>
      </c>
      <c r="K222" s="48"/>
      <c r="L222" s="60"/>
      <c r="M222" s="60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7">
        <v>0</v>
      </c>
      <c r="K223" s="48"/>
      <c r="L223" s="60"/>
      <c r="M223" s="60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IFERROR(__xludf.DUMMYFUNCTION("IMPORTRANGE(""https://docs.google.com/spreadsheets/d/1C3CXT74ZlgGe6_JY_1olB1XN4rF0dxEuIIF-xsYjHgg/edit?usp=sharing"",""พรบ!BV73"")"),0)</f>
        <v>0</v>
      </c>
      <c r="J224" s="67">
        <v>0</v>
      </c>
      <c r="K224" s="48">
        <f ca="1">IF(I224&gt;0,J224*100/I224,0)</f>
        <v>0</v>
      </c>
      <c r="L224" s="60"/>
      <c r="M224" s="60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7">
        <v>0</v>
      </c>
      <c r="K225" s="48"/>
      <c r="L225" s="60"/>
      <c r="M225" s="60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84">
        <v>0</v>
      </c>
      <c r="K226" s="48"/>
      <c r="L226" s="60"/>
      <c r="M226" s="60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220</v>
      </c>
      <c r="J228" s="197">
        <f ca="1">J240</f>
        <v>25</v>
      </c>
      <c r="K228" s="178">
        <f ca="1">IF(I228&gt;0,J228*100/I228,0)</f>
        <v>11.363636363636363</v>
      </c>
      <c r="L228" s="179">
        <f ca="1">L229+L230</f>
        <v>921300</v>
      </c>
      <c r="M228" s="179">
        <f>SUM(M229:M230)</f>
        <v>82802.75</v>
      </c>
      <c r="N228" s="178">
        <f ca="1">IF(L228&gt;0,M228*100/L228,0)</f>
        <v>8.9875990448279612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921300</v>
      </c>
      <c r="M230" s="52">
        <f t="shared" si="51"/>
        <v>82802.75</v>
      </c>
      <c r="N230" s="52">
        <f t="shared" ca="1" si="50"/>
        <v>8.9875990448279612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IFERROR(__xludf.DUMMYFUNCTION("IMPORTRANGE(""https://docs.google.com/spreadsheets/d/1C3CXT74ZlgGe6_JY_1olB1XN4rF0dxEuIIF-xsYjHgg/edit?usp=sharing"",""พรบ!BX73"")"),564000)</f>
        <v>564000</v>
      </c>
      <c r="M231" s="53">
        <v>39026.550000000003</v>
      </c>
      <c r="N231" s="52">
        <f t="shared" ca="1" si="50"/>
        <v>6.9196010638297878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IFERROR(__xludf.DUMMYFUNCTION("IMPORTRANGE(""https://docs.google.com/spreadsheets/d/1C3CXT74ZlgGe6_JY_1olB1XN4rF0dxEuIIF-xsYjHgg/edit?usp=sharing"",""พรบ!BY73"")"),357300)</f>
        <v>357300</v>
      </c>
      <c r="M232" s="53">
        <v>43776.2</v>
      </c>
      <c r="N232" s="52">
        <f t="shared" ca="1" si="50"/>
        <v>12.251945144136579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IFERROR(__xludf.DUMMYFUNCTION("IMPORTRANGE(""https://docs.google.com/spreadsheets/d/1AGHcLOeeYFL3K4b9R1dSzyJy00PE_ra89DNTVfnxSWM/edit?usp=sharing"",""รวมที่ทำกิน!J62"")"),1)</f>
        <v>1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IFERROR(__xludf.DUMMYFUNCTION("IMPORTRANGE(""https://docs.google.com/spreadsheets/d/1C3CXT74ZlgGe6_JY_1olB1XN4rF0dxEuIIF-xsYjHgg/edit?usp=sharing"",""พรบ!BZ73"")"),2000)</f>
        <v>2000</v>
      </c>
      <c r="J235" s="66">
        <f ca="1">IFERROR(__xludf.DUMMYFUNCTION("IMPORTRANGE(""https://docs.google.com/spreadsheets/d/1AGHcLOeeYFL3K4b9R1dSzyJy00PE_ra89DNTVfnxSWM/edit?usp=sharing"",""รวมที่ทำกิน!L62"")"),6.94)</f>
        <v>6.94</v>
      </c>
      <c r="K235" s="200">
        <f t="shared" ca="1" si="52"/>
        <v>0.34699999999999998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IFERROR(__xludf.DUMMYFUNCTION("IMPORTRANGE(""https://docs.google.com/spreadsheets/d/1C3CXT74ZlgGe6_JY_1olB1XN4rF0dxEuIIF-xsYjHgg/edit?usp=sharing"",""พรบ!CA73"")"),220)</f>
        <v>220</v>
      </c>
      <c r="J236" s="66">
        <f ca="1">IFERROR(__xludf.DUMMYFUNCTION("IMPORTRANGE(""https://docs.google.com/spreadsheets/d/1AGHcLOeeYFL3K4b9R1dSzyJy00PE_ra89DNTVfnxSWM/edit?usp=sharing"",""รวมที่ทำกิน!O62"")"),25)</f>
        <v>25</v>
      </c>
      <c r="K236" s="200">
        <f t="shared" ca="1" si="52"/>
        <v>11.363636363636363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IFERROR(__xludf.DUMMYFUNCTION("IMPORTRANGE(""https://docs.google.com/spreadsheets/d/1AGHcLOeeYFL3K4b9R1dSzyJy00PE_ra89DNTVfnxSWM/edit?usp=sharing"",""รวมที่ทำกิน!Q62"")"),231.41)</f>
        <v>231.41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IFERROR(__xludf.DUMMYFUNCTION("IMPORTRANGE(""https://docs.google.com/spreadsheets/d/1C3CXT74ZlgGe6_JY_1olB1XN4rF0dxEuIIF-xsYjHgg/edit?usp=sharing"",""พรบ!CB73"")"),220)</f>
        <v>220</v>
      </c>
      <c r="J238" s="66">
        <f ca="1">IFERROR(__xludf.DUMMYFUNCTION("IMPORTRANGE(""https://docs.google.com/spreadsheets/d/1AGHcLOeeYFL3K4b9R1dSzyJy00PE_ra89DNTVfnxSWM/edit?usp=sharing"",""รวมที่ทำกิน!S62"")"),0)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IFERROR(__xludf.DUMMYFUNCTION("IMPORTRANGE(""https://docs.google.com/spreadsheets/d/1AGHcLOeeYFL3K4b9R1dSzyJy00PE_ra89DNTVfnxSWM/edit?usp=sharing"",""รวมที่ทำกิน!U62"")"),0)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IFERROR(__xludf.DUMMYFUNCTION("IMPORTRANGE(""https://docs.google.com/spreadsheets/d/1C3CXT74ZlgGe6_JY_1olB1XN4rF0dxEuIIF-xsYjHgg/edit?usp=sharing"",""พรบ!CC73"")"),220)</f>
        <v>220</v>
      </c>
      <c r="J240" s="66">
        <f ca="1">IFERROR(__xludf.DUMMYFUNCTION("IMPORTRANGE(""https://docs.google.com/spreadsheets/d/1AGHcLOeeYFL3K4b9R1dSzyJy00PE_ra89DNTVfnxSWM/edit?usp=sharing"",""รวมที่ทำกิน!W62"")"),25)</f>
        <v>25</v>
      </c>
      <c r="K240" s="200">
        <f t="shared" ca="1" si="52"/>
        <v>11.363636363636363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IFERROR(__xludf.DUMMYFUNCTION("IMPORTRANGE(""https://docs.google.com/spreadsheets/d/1AGHcLOeeYFL3K4b9R1dSzyJy00PE_ra89DNTVfnxSWM/edit?usp=sharing"",""รวมที่ทำกิน!Y62"")"),231.41)</f>
        <v>231.41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1595132</v>
      </c>
      <c r="M242" s="213">
        <f t="shared" si="53"/>
        <v>18923.879999999997</v>
      </c>
      <c r="N242" s="213">
        <f ca="1">+IF(L242&gt;0,M242*100/L242,0)</f>
        <v>1.186351975886635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0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IFERROR(__xludf.DUMMYFUNCTION("IMPORTRANGE(""https://docs.google.com/spreadsheets/d/1C3CXT74ZlgGe6_JY_1olB1XN4rF0dxEuIIF-xsYjHgg/edit?usp=sharing"",""งบกองทุน!d73"")"),0)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66"/>
      <c r="K249" s="232"/>
      <c r="L249" s="52">
        <f ca="1">IFERROR(__xludf.DUMMYFUNCTION("IMPORTRANGE(""https://docs.google.com/spreadsheets/d/1C3CXT74ZlgGe6_JY_1olB1XN4rF0dxEuIIF-xsYjHgg/edit?usp=sharing"",""งบกองทุน!e73"")"),0)</f>
        <v>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2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2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2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2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66"/>
      <c r="K254" s="232"/>
      <c r="L254" s="52"/>
      <c r="M254" s="52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6">
        <v>0</v>
      </c>
      <c r="K255" s="232"/>
      <c r="L255" s="52"/>
      <c r="M255" s="52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6">
        <v>0</v>
      </c>
      <c r="K256" s="232"/>
      <c r="L256" s="52" t="s">
        <v>21</v>
      </c>
      <c r="M256" s="52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6">
        <v>0</v>
      </c>
      <c r="K257" s="232"/>
      <c r="L257" s="52"/>
      <c r="M257" s="52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6">
        <v>0</v>
      </c>
      <c r="K258" s="232"/>
      <c r="L258" s="52"/>
      <c r="M258" s="52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IFERROR(__xludf.DUMMYFUNCTION("IMPORTRANGE(""https://docs.google.com/spreadsheets/d/1C3CXT74ZlgGe6_JY_1olB1XN4rF0dxEuIIF-xsYjHgg/edit?usp=sharing"",""งบกองทุน!f73"")"),0)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IFERROR(__xludf.DUMMYFUNCTION("IMPORTRANGE(""https://docs.google.com/spreadsheets/d/1C3CXT74ZlgGe6_JY_1olB1XN4rF0dxEuIIF-xsYjHgg/edit?usp=sharing"",""งบกองทุน!H73"")"),0)</f>
        <v>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IFERROR(__xludf.DUMMYFUNCTION("IMPORTRANGE(""https://docs.google.com/spreadsheets/d/1C3CXT74ZlgGe6_JY_1olB1XN4rF0dxEuIIF-xsYjHgg/edit?usp=sharing"",""งบกองทุน!i73"")"),0)</f>
        <v>0</v>
      </c>
      <c r="J264" s="66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0</v>
      </c>
      <c r="J265" s="66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IFERROR(__xludf.DUMMYFUNCTION("IMPORTRANGE(""https://docs.google.com/spreadsheets/d/1C3CXT74ZlgGe6_JY_1olB1XN4rF0dxEuIIF-xsYjHgg/edit?usp=sharing"",""งบกองทุน!k73"")"),0)</f>
        <v>0</v>
      </c>
      <c r="J266" s="66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0</v>
      </c>
      <c r="J267" s="66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IFERROR(__xludf.DUMMYFUNCTION("IMPORTRANGE(""https://docs.google.com/spreadsheets/d/1C3CXT74ZlgGe6_JY_1olB1XN4rF0dxEuIIF-xsYjHgg/edit?usp=sharing"",""งบกองทุน!m73"")"),0)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IFERROR(__xludf.DUMMYFUNCTION("IMPORTRANGE(""https://docs.google.com/spreadsheets/d/1C3CXT74ZlgGe6_JY_1olB1XN4rF0dxEuIIF-xsYjHgg/edit?usp=sharing"",""งบกองทุน!o73"")"),0)</f>
        <v>0</v>
      </c>
      <c r="J271" s="66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IFERROR(__xludf.DUMMYFUNCTION("IMPORTRANGE(""https://docs.google.com/spreadsheets/d/1C3CXT74ZlgGe6_JY_1olB1XN4rF0dxEuIIF-xsYjHgg/edit?usp=sharing"",""งบกองทุน!p73"")"),0)</f>
        <v>0</v>
      </c>
      <c r="J272" s="66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6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356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1000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1028520</v>
      </c>
      <c r="M275" s="228">
        <f t="shared" si="64"/>
        <v>8640</v>
      </c>
      <c r="N275" s="228">
        <f ca="1">+IF(L275&gt;0,M275*100/L275,0)</f>
        <v>0.84004200210010505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100</v>
      </c>
      <c r="J276" s="226">
        <f>+J291</f>
        <v>40</v>
      </c>
      <c r="K276" s="227">
        <f t="shared" ca="1" si="63"/>
        <v>40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1028520</v>
      </c>
      <c r="M278" s="49">
        <f t="shared" si="66"/>
        <v>8640</v>
      </c>
      <c r="N278" s="49">
        <f t="shared" ca="1" si="65"/>
        <v>0.84004200210010505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IFERROR(__xludf.DUMMYFUNCTION("IMPORTRANGE(""https://docs.google.com/spreadsheets/d/1C3CXT74ZlgGe6_JY_1olB1XN4rF0dxEuIIF-xsYjHgg/edit?usp=sharing"",""งบกองทุน!r73"")"),0)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IFERROR(__xludf.DUMMYFUNCTION("IMPORTRANGE(""https://docs.google.com/spreadsheets/d/1C3CXT74ZlgGe6_JY_1olB1XN4rF0dxEuIIF-xsYjHgg/edit?usp=sharing"",""งบกองทุน!s73"")"),1028520)</f>
        <v>1028520</v>
      </c>
      <c r="M280" s="52">
        <f>SUM(M281:M284)</f>
        <v>8640</v>
      </c>
      <c r="N280" s="52">
        <f t="shared" ca="1" si="65"/>
        <v>0.84004200210010505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8640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1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1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IFERROR(__xludf.DUMMYFUNCTION("IMPORTRANGE(""https://docs.google.com/spreadsheets/d/1C3CXT74ZlgGe6_JY_1olB1XN4rF0dxEuIIF-xsYjHgg/edit?usp=sharing"",""งบกองทุน!v73"")"),100)</f>
        <v>100</v>
      </c>
      <c r="J291" s="67">
        <v>40</v>
      </c>
      <c r="K291" s="48">
        <f t="shared" ref="K291:K293" ca="1" si="67">IF(I291&gt;0,J291*100/I291,0)</f>
        <v>40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IFERROR(__xludf.DUMMYFUNCTION("IMPORTRANGE(""https://docs.google.com/spreadsheets/d/1C3CXT74ZlgGe6_JY_1olB1XN4rF0dxEuIIF-xsYjHgg/edit?usp=sharing"",""งบกองทุน!w73"")"),1000)</f>
        <v>1000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IFERROR(__xludf.DUMMYFUNCTION("IMPORTRANGE(""https://docs.google.com/spreadsheets/d/1C3CXT74ZlgGe6_JY_1olB1XN4rF0dxEuIIF-xsYjHgg/edit?usp=sharing"",""งบกองทุน!x73"")"),100)</f>
        <v>100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195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226530</v>
      </c>
      <c r="M296" s="228">
        <f t="shared" si="69"/>
        <v>500</v>
      </c>
      <c r="N296" s="228">
        <f ca="1">+IF(L296&gt;0,M296*100/L296,0)</f>
        <v>0.22072131726482144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65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226530</v>
      </c>
      <c r="M299" s="52">
        <f t="shared" si="71"/>
        <v>500</v>
      </c>
      <c r="N299" s="52">
        <f t="shared" ca="1" si="70"/>
        <v>0.22072131726482144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IFERROR(__xludf.DUMMYFUNCTION("IMPORTRANGE(""https://docs.google.com/spreadsheets/d/1C3CXT74ZlgGe6_JY_1olB1XN4rF0dxEuIIF-xsYjHgg/edit?usp=sharing"",""งบกองทุน!z73"")"),0)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IFERROR(__xludf.DUMMYFUNCTION("IMPORTRANGE(""https://docs.google.com/spreadsheets/d/1C3CXT74ZlgGe6_JY_1olB1XN4rF0dxEuIIF-xsYjHgg/edit?usp=sharing"",""งบกองทุน!aa73"")"),226530)</f>
        <v>226530</v>
      </c>
      <c r="M301" s="52">
        <f>SUM(M302:M305)</f>
        <v>500</v>
      </c>
      <c r="N301" s="52">
        <f t="shared" ca="1" si="70"/>
        <v>0.22072131726482144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500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65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IFERROR(__xludf.DUMMYFUNCTION("IMPORTRANGE(""https://docs.google.com/spreadsheets/d/1C3CXT74ZlgGe6_JY_1olB1XN4rF0dxEuIIF-xsYjHgg/edit?usp=sharing"",""งบกองทุน!ae73"")"),30)</f>
        <v>30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IFERROR(__xludf.DUMMYFUNCTION("IMPORTRANGE(""https://docs.google.com/spreadsheets/d/1C3CXT74ZlgGe6_JY_1olB1XN4rF0dxEuIIF-xsYjHgg/edit?usp=sharing"",""งบกองทุน!ad73"")"),90)</f>
        <v>90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IFERROR(__xludf.DUMMYFUNCTION("IMPORTRANGE(""https://docs.google.com/spreadsheets/d/1C3CXT74ZlgGe6_JY_1olB1XN4rF0dxEuIIF-xsYjHgg/edit?usp=sharing"",""งบกองทุน!af73"")"),30)</f>
        <v>30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IFERROR(__xludf.DUMMYFUNCTION("IMPORTRANGE(""https://docs.google.com/spreadsheets/d/1C3CXT74ZlgGe6_JY_1olB1XN4rF0dxEuIIF-xsYjHgg/edit?usp=sharing"",""งบกองทุน!ag73"")"),30)</f>
        <v>30</v>
      </c>
      <c r="J315" s="247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IFERROR(__xludf.DUMMYFUNCTION("IMPORTRANGE(""https://docs.google.com/spreadsheets/d/1C3CXT74ZlgGe6_JY_1olB1XN4rF0dxEuIIF-xsYjHgg/edit?usp=sharing"",""งบกองทุน!ai73"")"),25)</f>
        <v>25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IFERROR(__xludf.DUMMYFUNCTION("IMPORTRANGE(""https://docs.google.com/spreadsheets/d/1C3CXT74ZlgGe6_JY_1olB1XN4rF0dxEuIIF-xsYjHgg/edit?usp=sharing"",""งบกองทุน!ah73"")"),75)</f>
        <v>75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IFERROR(__xludf.DUMMYFUNCTION("IMPORTRANGE(""https://docs.google.com/spreadsheets/d/1C3CXT74ZlgGe6_JY_1olB1XN4rF0dxEuIIF-xsYjHgg/edit?usp=sharing"",""งบกองทุน!aj73"")"),25)</f>
        <v>25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IFERROR(__xludf.DUMMYFUNCTION("IMPORTRANGE(""https://docs.google.com/spreadsheets/d/1C3CXT74ZlgGe6_JY_1olB1XN4rF0dxEuIIF-xsYjHgg/edit?usp=sharing"",""งบกองทุน!ak73"")"),25)</f>
        <v>25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IFERROR(__xludf.DUMMYFUNCTION("IMPORTRANGE(""https://docs.google.com/spreadsheets/d/1C3CXT74ZlgGe6_JY_1olB1XN4rF0dxEuIIF-xsYjHgg/edit?usp=sharing"",""งบกองทุน!al73"")"),25)</f>
        <v>25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IFERROR(__xludf.DUMMYFUNCTION("IMPORTRANGE(""https://docs.google.com/spreadsheets/d/1C3CXT74ZlgGe6_JY_1olB1XN4rF0dxEuIIF-xsYjHgg/edit?usp=sharing"",""งบกองทุน!an73"")"),10)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IFERROR(__xludf.DUMMYFUNCTION("IMPORTRANGE(""https://docs.google.com/spreadsheets/d/1C3CXT74ZlgGe6_JY_1olB1XN4rF0dxEuIIF-xsYjHgg/edit?usp=sharing"",""งบกองทุน!am73"")"),30)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IFERROR(__xludf.DUMMYFUNCTION("IMPORTRANGE(""https://docs.google.com/spreadsheets/d/1C3CXT74ZlgGe6_JY_1olB1XN4rF0dxEuIIF-xsYjHgg/edit?usp=sharing"",""งบกองทุน!ao73"")"),10)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IFERROR(__xludf.DUMMYFUNCTION("IMPORTRANGE(""https://docs.google.com/spreadsheets/d/1C3CXT74ZlgGe6_JY_1olB1XN4rF0dxEuIIF-xsYjHgg/edit?usp=sharing"",""งบกองทุน!ap73"")"),10)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55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IFERROR(__xludf.DUMMYFUNCTION("IMPORTRANGE(""https://docs.google.com/spreadsheets/d/1C3CXT74ZlgGe6_JY_1olB1XN4rF0dxEuIIF-xsYjHgg/edit?usp=sharing"",""งบกองทุน!ar73"")"),30)</f>
        <v>30</v>
      </c>
      <c r="J326" s="67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IFERROR(__xludf.DUMMYFUNCTION("IMPORTRANGE(""https://docs.google.com/spreadsheets/d/1C3CXT74ZlgGe6_JY_1olB1XN4rF0dxEuIIF-xsYjHgg/edit?usp=sharing"",""งบกองทุน!as73"")"),25)</f>
        <v>25</v>
      </c>
      <c r="J327" s="67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20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95000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95000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IFERROR(__xludf.DUMMYFUNCTION("IMPORTRANGE(""https://docs.google.com/spreadsheets/d/1C3CXT74ZlgGe6_JY_1olB1XN4rF0dxEuIIF-xsYjHgg/edit?usp=sharing"",""งบกองทุน!au73"")"),0)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IFERROR(__xludf.DUMMYFUNCTION("IMPORTRANGE(""https://docs.google.com/spreadsheets/d/1C3CXT74ZlgGe6_JY_1olB1XN4rF0dxEuIIF-xsYjHgg/edit?usp=sharing"",""งบกองทุน!av73"")"),95000)</f>
        <v>95000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20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IFERROR(__xludf.DUMMYFUNCTION("IMPORTRANGE(""https://docs.google.com/spreadsheets/d/1C3CXT74ZlgGe6_JY_1olB1XN4rF0dxEuIIF-xsYjHgg/edit?usp=sharing"",""งบกองทุน!ay73"")"),20)</f>
        <v>20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IFERROR(__xludf.DUMMYFUNCTION("IMPORTRANGE(""https://docs.google.com/spreadsheets/d/1C3CXT74ZlgGe6_JY_1olB1XN4rF0dxEuIIF-xsYjHgg/edit?usp=sharing"",""งบกองทุน!az73"")"),0)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IFERROR(__xludf.DUMMYFUNCTION("IMPORTRANGE(""https://docs.google.com/spreadsheets/d/1C3CXT74ZlgGe6_JY_1olB1XN4rF0dxEuIIF-xsYjHgg/edit?usp=sharing"",""งบกองทุน!Ba73"")"),0)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0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79312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79312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IFERROR(__xludf.DUMMYFUNCTION("IMPORTRANGE(""https://docs.google.com/spreadsheets/d/1C3CXT74ZlgGe6_JY_1olB1XN4rF0dxEuIIF-xsYjHgg/edit?usp=sharing"",""งบกองทุน!Bc73"")"),0)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IFERROR(__xludf.DUMMYFUNCTION("IMPORTRANGE(""https://docs.google.com/spreadsheets/d/1C3CXT74ZlgGe6_JY_1olB1XN4rF0dxEuIIF-xsYjHgg/edit?usp=sharing"",""งบกองทุน!Bd73"")"),79312)</f>
        <v>79312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IFERROR(__xludf.DUMMYFUNCTION("IMPORTRANGE(""https://docs.google.com/spreadsheets/d/1C3CXT74ZlgGe6_JY_1olB1XN4rF0dxEuIIF-xsYjHgg/edit?usp=sharing"",""งบกองทุน!BE73"")"),0)</f>
        <v>0</v>
      </c>
      <c r="J359" s="136">
        <f>+J376</f>
        <v>0</v>
      </c>
      <c r="K359" s="137">
        <f t="shared" ref="K359:K425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IFERROR(__xludf.DUMMYFUNCTION("IMPORTRANGE(""https://docs.google.com/spreadsheets/d/1C3CXT74ZlgGe6_JY_1olB1XN4rF0dxEuIIF-xsYjHgg/edit?usp=sharing"",""งบกองทุน!BE73"")"),0)</f>
        <v>0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IFERROR(__xludf.DUMMYFUNCTION("IMPORTRANGE(""https://docs.google.com/spreadsheets/d/1C3CXT74ZlgGe6_JY_1olB1XN4rF0dxEuIIF-xsYjHgg/edit?usp=sharing"",""งบกองทุน!Bf73"")"),0)</f>
        <v>0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0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47">
        <f ca="1">I361</f>
        <v>0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0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47">
        <f ca="1">I361</f>
        <v>0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IFERROR(__xludf.DUMMYFUNCTION("IMPORTRANGE(""https://docs.google.com/spreadsheets/d/1C3CXT74ZlgGe6_JY_1olB1XN4rF0dxEuIIF-xsYjHgg/edit?usp=sharing"",""งบกองทุน!cd73"")"),1935)</f>
        <v>1935</v>
      </c>
      <c r="J390" s="136">
        <f>J391</f>
        <v>201</v>
      </c>
      <c r="K390" s="137">
        <f t="shared" ca="1" si="82"/>
        <v>10.387596899224807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IFERROR(__xludf.DUMMYFUNCTION("IMPORTRANGE(""https://docs.google.com/spreadsheets/d/1C3CXT74ZlgGe6_JY_1olB1XN4rF0dxEuIIF-xsYjHgg/edit?usp=sharing"",""งบกองทุน!cd73"")"),1935)</f>
        <v>1935</v>
      </c>
      <c r="J391" s="265">
        <f t="shared" ref="J391:J392" si="87">J393+J401+J407</f>
        <v>201</v>
      </c>
      <c r="K391" s="48">
        <f t="shared" ca="1" si="82"/>
        <v>10.387596899224807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IFERROR(__xludf.DUMMYFUNCTION("IMPORTRANGE(""https://docs.google.com/spreadsheets/d/1C3CXT74ZlgGe6_JY_1olB1XN4rF0dxEuIIF-xsYjHgg/edit?usp=sharing"",""งบกองทุน!cc73"")"),129)</f>
        <v>129</v>
      </c>
      <c r="J392" s="265">
        <f t="shared" si="87"/>
        <v>12</v>
      </c>
      <c r="K392" s="79">
        <f t="shared" ca="1" si="82"/>
        <v>9.3023255813953494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201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12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201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12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IFERROR(__xludf.DUMMYFUNCTION("IMPORTRANGE(""https://docs.google.com/spreadsheets/d/1C3CXT74ZlgGe6_JY_1olB1XN4rF0dxEuIIF-xsYjHgg/edit?usp=sharing"",""งบกองทุน!cz72"")"),0)</f>
        <v>0</v>
      </c>
      <c r="J409" s="136">
        <v>0</v>
      </c>
      <c r="K409" s="137">
        <f t="shared" ca="1" si="82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IFERROR(__xludf.DUMMYFUNCTION("IMPORTRANGE(""https://docs.google.com/spreadsheets/d/1C3CXT74ZlgGe6_JY_1olB1XN4rF0dxEuIIF-xsYjHgg/edit?usp=sharing"",""งบกองทุน!cz72"")"),0)</f>
        <v>0</v>
      </c>
      <c r="J410" s="149">
        <v>0</v>
      </c>
      <c r="K410" s="146">
        <f t="shared" ca="1" si="82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IFERROR(__xludf.DUMMYFUNCTION("IMPORTRANGE(""https://docs.google.com/spreadsheets/d/1C3CXT74ZlgGe6_JY_1olB1XN4rF0dxEuIIF-xsYjHgg/edit?usp=sharing"",""งบกองทุน!cy72"")"),0)</f>
        <v>0</v>
      </c>
      <c r="J411" s="149">
        <v>0</v>
      </c>
      <c r="K411" s="146">
        <f t="shared" ca="1" si="82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IFERROR(__xludf.DUMMYFUNCTION("IMPORTRANGE(""https://docs.google.com/spreadsheets/d/1C3CXT74ZlgGe6_JY_1olB1XN4rF0dxEuIIF-xsYjHgg/edit?usp=sharing"",""งบกองทุน!db72"")"),0)</f>
        <v>0</v>
      </c>
      <c r="K412" s="48">
        <f t="shared" si="82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IFERROR(__xludf.DUMMYFUNCTION("IMPORTRANGE(""https://docs.google.com/spreadsheets/d/1C3CXT74ZlgGe6_JY_1olB1XN4rF0dxEuIIF-xsYjHgg/edit?usp=sharing"",""งบกองทุน!da72"")"),0)</f>
        <v>0</v>
      </c>
      <c r="K413" s="48">
        <f t="shared" si="82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IFERROR(__xludf.DUMMYFUNCTION("IMPORTRANGE(""https://docs.google.com/spreadsheets/d/1C3CXT74ZlgGe6_JY_1olB1XN4rF0dxEuIIF-xsYjHgg/edit?usp=sharing"",""งบกองทุน!dd72"")"),0)</f>
        <v>0</v>
      </c>
      <c r="K414" s="48">
        <f t="shared" si="82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IFERROR(__xludf.DUMMYFUNCTION("IMPORTRANGE(""https://docs.google.com/spreadsheets/d/1C3CXT74ZlgGe6_JY_1olB1XN4rF0dxEuIIF-xsYjHgg/edit?usp=sharing"",""งบกองทุน!dc72"")"),0)</f>
        <v>0</v>
      </c>
      <c r="K415" s="48">
        <f t="shared" si="82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IFERROR(__xludf.DUMMYFUNCTION("IMPORTRANGE(""https://docs.google.com/spreadsheets/d/1C3CXT74ZlgGe6_JY_1olB1XN4rF0dxEuIIF-xsYjHgg/edit?usp=sharing"",""งบกองทุน!df72"")"),0)</f>
        <v>0</v>
      </c>
      <c r="K416" s="48">
        <f t="shared" si="82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IFERROR(__xludf.DUMMYFUNCTION("IMPORTRANGE(""https://docs.google.com/spreadsheets/d/1C3CXT74ZlgGe6_JY_1olB1XN4rF0dxEuIIF-xsYjHgg/edit?usp=sharing"",""งบกองทุน!de72"")"),0)</f>
        <v>0</v>
      </c>
      <c r="K417" s="48">
        <f t="shared" si="82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f t="shared" ca="1" si="82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f t="shared" ca="1" si="82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f t="shared" si="82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f t="shared" si="82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f t="shared" si="82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f t="shared" si="82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f t="shared" si="82"/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4">
        <v>0</v>
      </c>
      <c r="J425" s="300">
        <v>0</v>
      </c>
      <c r="K425" s="301">
        <f t="shared" si="82"/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22</v>
      </c>
      <c r="J426" s="257">
        <f t="shared" si="91"/>
        <v>0</v>
      </c>
      <c r="K426" s="258">
        <f ca="1">IF(I426&gt;0,J426*100/I426,0)</f>
        <v>0</v>
      </c>
      <c r="L426" s="259">
        <f t="shared" ref="L426:M426" ca="1" si="92">SUM(L427:L428)</f>
        <v>34340</v>
      </c>
      <c r="M426" s="259">
        <f t="shared" si="92"/>
        <v>0</v>
      </c>
      <c r="N426" s="259">
        <f t="shared" ref="N426:N430" ca="1" si="93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34340</v>
      </c>
      <c r="M428" s="52">
        <f t="shared" si="94"/>
        <v>0</v>
      </c>
      <c r="N428" s="52">
        <f t="shared" ca="1" si="93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IFERROR(__xludf.DUMMYFUNCTION("IMPORTRANGE(""https://docs.google.com/spreadsheets/d/1C3CXT74ZlgGe6_JY_1olB1XN4rF0dxEuIIF-xsYjHgg/edit?usp=sharing"",""งบกองทุน!dn73"")"),0)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IFERROR(__xludf.DUMMYFUNCTION("IMPORTRANGE(""https://docs.google.com/spreadsheets/d/1C3CXT74ZlgGe6_JY_1olB1XN4rF0dxEuIIF-xsYjHgg/edit?usp=sharing"",""งบกองทุน!do73"")"),34340)</f>
        <v>34340</v>
      </c>
      <c r="M430" s="52">
        <f>SUM(M431:M434)</f>
        <v>0</v>
      </c>
      <c r="N430" s="52">
        <f t="shared" ca="1" si="93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1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IFERROR(__xludf.DUMMYFUNCTION("IMPORTRANGE(""https://docs.google.com/spreadsheets/d/1C3CXT74ZlgGe6_JY_1olB1XN4rF0dxEuIIF-xsYjHgg/edit?usp=sharing"",""งบกองทุน!dq73"")"),22)</f>
        <v>22</v>
      </c>
      <c r="J440" s="67">
        <v>0</v>
      </c>
      <c r="K440" s="48">
        <f t="shared" ref="K440:K441" ca="1" si="95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IFERROR(__xludf.DUMMYFUNCTION("IMPORTRANGE(""https://docs.google.com/spreadsheets/d/1C3CXT74ZlgGe6_JY_1olB1XN4rF0dxEuIIF-xsYjHgg/edit?usp=sharing"",""งบกองทุน!dr73"")"),22)</f>
        <v>22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IFERROR(__xludf.DUMMYFUNCTION("IMPORTRANGE(""https://docs.google.com/spreadsheets/d/1C3CXT74ZlgGe6_JY_1olB1XN4rF0dxEuIIF-xsYjHgg/edit?usp=sharing"",""งบกองทุน!dt73"")"),0)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IFERROR(__xludf.DUMMYFUNCTION("IMPORTRANGE(""https://docs.google.com/spreadsheets/d/1C3CXT74ZlgGe6_JY_1olB1XN4rF0dxEuIIF-xsYjHgg/edit?usp=sharing"",""งบกองทุน!du73"")"),0)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IFERROR(__xludf.DUMMYFUNCTION("IMPORTRANGE(""https://docs.google.com/spreadsheets/d/1C3CXT74ZlgGe6_JY_1olB1XN4rF0dxEuIIF-xsYjHgg/edit?usp=sharing"",""งบกองทุน!dw73"")"),0)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IFERROR(__xludf.DUMMYFUNCTION("IMPORTRANGE(""https://docs.google.com/spreadsheets/d/1C3CXT74ZlgGe6_JY_1olB1XN4rF0dxEuIIF-xsYjHgg/edit?usp=sharing"",""งบกองทุน!dx73"")"),0)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IFERROR(__xludf.DUMMYFUNCTION("IMPORTRANGE(""https://docs.google.com/spreadsheets/d/1C3CXT74ZlgGe6_JY_1olB1XN4rF0dxEuIIF-xsYjHgg/edit?usp=sharing"",""งบกองทุน!dy73"")"),0)</f>
        <v>0</v>
      </c>
      <c r="J455" s="66">
        <v>0</v>
      </c>
      <c r="K455" s="48">
        <f t="shared" ca="1" si="100"/>
        <v>0</v>
      </c>
      <c r="L455" s="60"/>
      <c r="M455" s="60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IFERROR(__xludf.DUMMYFUNCTION("IMPORTRANGE(""https://docs.google.com/spreadsheets/d/1C3CXT74ZlgGe6_JY_1olB1XN4rF0dxEuIIF-xsYjHgg/edit?usp=sharing"",""งบกองทุน!dz73"")"),0)</f>
        <v>0</v>
      </c>
      <c r="J456" s="66">
        <v>0</v>
      </c>
      <c r="K456" s="48">
        <f t="shared" ca="1" si="100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550</v>
      </c>
      <c r="J457" s="226">
        <f>+J466</f>
        <v>416</v>
      </c>
      <c r="K457" s="227">
        <f t="shared" ca="1" si="100"/>
        <v>75.63636363636364</v>
      </c>
      <c r="L457" s="228">
        <f t="shared" ref="L457:M457" ca="1" si="101">SUM(L458:L459)</f>
        <v>126080</v>
      </c>
      <c r="M457" s="228">
        <f t="shared" si="101"/>
        <v>9483.8799999999992</v>
      </c>
      <c r="N457" s="228">
        <f t="shared" ref="N457:N461" ca="1" si="102">+IF(L457&gt;0,M457*100/L457,0)</f>
        <v>7.5221129441624353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126080</v>
      </c>
      <c r="M459" s="52">
        <f t="shared" si="103"/>
        <v>9483.8799999999992</v>
      </c>
      <c r="N459" s="52">
        <f t="shared" ca="1" si="102"/>
        <v>7.5221129441624353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IFERROR(__xludf.DUMMYFUNCTION("IMPORTRANGE(""https://docs.google.com/spreadsheets/d/1C3CXT74ZlgGe6_JY_1olB1XN4rF0dxEuIIF-xsYjHgg/edit?usp=sharing"",""งบกองทุน!Eb73"")"),0)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IFERROR(__xludf.DUMMYFUNCTION("IMPORTRANGE(""https://docs.google.com/spreadsheets/d/1C3CXT74ZlgGe6_JY_1olB1XN4rF0dxEuIIF-xsYjHgg/edit?usp=sharing"",""งบกองทุน!Ec73"")"),126080)</f>
        <v>126080</v>
      </c>
      <c r="M461" s="52">
        <f>SUM(M462:M465)</f>
        <v>9483.8799999999992</v>
      </c>
      <c r="N461" s="52">
        <f t="shared" ca="1" si="102"/>
        <v>7.5221129441624353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9483.8799999999992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IFERROR(__xludf.DUMMYFUNCTION("IMPORTRANGE(""https://docs.google.com/spreadsheets/d/1C3CXT74ZlgGe6_JY_1olB1XN4rF0dxEuIIF-xsYjHgg/edit?usp=sharing"",""งบกองทุน!Ed73"")"),550)</f>
        <v>550</v>
      </c>
      <c r="J466" s="265">
        <f>+J469+J470+J471+J472</f>
        <v>416</v>
      </c>
      <c r="K466" s="79">
        <f ca="1">IF(I466&gt;0,J466*100/I466,0)</f>
        <v>75.63636363636364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1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22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392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2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0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IFERROR(__xludf.DUMMYFUNCTION("IMPORTRANGE(""https://docs.google.com/spreadsheets/d/1C3CXT74ZlgGe6_JY_1olB1XN4rF0dxEuIIF-xsYjHgg/edit?usp=sharing"",""งบกองทุน!Ek73"")"),0)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IFERROR(__xludf.DUMMYFUNCTION("IMPORTRANGE(""https://docs.google.com/spreadsheets/d/1C3CXT74ZlgGe6_JY_1olB1XN4rF0dxEuIIF-xsYjHgg/edit?usp=sharing"",""งบกองทุน!El73"")"),0)</f>
        <v>0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IFERROR(__xludf.DUMMYFUNCTION("IMPORTRANGE(""https://docs.google.com/spreadsheets/d/1C3CXT74ZlgGe6_JY_1olB1XN4rF0dxEuIIF-xsYjHgg/edit?usp=sharing"",""งบกองทุน!Em73"")"),0)</f>
        <v>0</v>
      </c>
      <c r="J482" s="66">
        <f ca="1">IFERROR(__xludf.DUMMYFUNCTION("IMPORTRANGE(""https://docs.google.com/spreadsheets/d/1AGHcLOeeYFL3K4b9R1dSzyJy00PE_ra89DNTVfnxSWM/edit?usp=sharing"",""รวมที่ชุมชน!G62"")"),0)</f>
        <v>0</v>
      </c>
      <c r="K482" s="48">
        <f t="shared" ref="K482:K489" ca="1" si="107">IF(I482&gt;0,J482*100/I482,0)</f>
        <v>0</v>
      </c>
      <c r="L482" s="60"/>
      <c r="M482" s="52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IFERROR(__xludf.DUMMYFUNCTION("IMPORTRANGE(""https://docs.google.com/spreadsheets/d/1C3CXT74ZlgGe6_JY_1olB1XN4rF0dxEuIIF-xsYjHgg/edit?usp=sharing"",""งบกองทุน!En73"")"),0)</f>
        <v>0</v>
      </c>
      <c r="J483" s="66">
        <f ca="1">IFERROR(__xludf.DUMMYFUNCTION("IMPORTRANGE(""https://docs.google.com/spreadsheets/d/1AGHcLOeeYFL3K4b9R1dSzyJy00PE_ra89DNTVfnxSWM/edit?usp=sharing"",""รวมที่ชุมชน!H62"")"),0)</f>
        <v>0</v>
      </c>
      <c r="K483" s="200">
        <f t="shared" ca="1" si="107"/>
        <v>0</v>
      </c>
      <c r="L483" s="60"/>
      <c r="M483" s="60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IFERROR(__xludf.DUMMYFUNCTION("IMPORTRANGE(""https://docs.google.com/spreadsheets/d/1C3CXT74ZlgGe6_JY_1olB1XN4rF0dxEuIIF-xsYjHgg/edit?usp=sharing"",""งบกองทุน!Eo73"")"),0)</f>
        <v>0</v>
      </c>
      <c r="J484" s="66">
        <f ca="1">IFERROR(__xludf.DUMMYFUNCTION("IMPORTRANGE(""https://docs.google.com/spreadsheets/d/1AGHcLOeeYFL3K4b9R1dSzyJy00PE_ra89DNTVfnxSWM/edit?usp=sharing"",""รวมที่ชุมชน!J62"")"),0)</f>
        <v>0</v>
      </c>
      <c r="K484" s="48">
        <f t="shared" ca="1" si="107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IFERROR(__xludf.DUMMYFUNCTION("IMPORTRANGE(""https://docs.google.com/spreadsheets/d/1C3CXT74ZlgGe6_JY_1olB1XN4rF0dxEuIIF-xsYjHgg/edit?usp=sharing"",""งบกองทุน!Ep73"")"),0)</f>
        <v>0</v>
      </c>
      <c r="J485" s="66">
        <f ca="1">IFERROR(__xludf.DUMMYFUNCTION("IMPORTRANGE(""https://docs.google.com/spreadsheets/d/1AGHcLOeeYFL3K4b9R1dSzyJy00PE_ra89DNTVfnxSWM/edit?usp=sharing"",""รวมที่ชุมชน!L62"")"),0)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IFERROR(__xludf.DUMMYFUNCTION("IMPORTRANGE(""https://docs.google.com/spreadsheets/d/1C3CXT74ZlgGe6_JY_1olB1XN4rF0dxEuIIF-xsYjHgg/edit?usp=sharing"",""งบกองทุน!Eq73"")"),0)</f>
        <v>0</v>
      </c>
      <c r="J486" s="66">
        <f ca="1">IFERROR(__xludf.DUMMYFUNCTION("IMPORTRANGE(""https://docs.google.com/spreadsheets/d/1AGHcLOeeYFL3K4b9R1dSzyJy00PE_ra89DNTVfnxSWM/edit?usp=sharing"",""รวมที่ชุมชน!S62"")"),0)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IFERROR(__xludf.DUMMYFUNCTION("IMPORTRANGE(""https://docs.google.com/spreadsheets/d/1C3CXT74ZlgGe6_JY_1olB1XN4rF0dxEuIIF-xsYjHgg/edit?usp=sharing"",""งบกองทุน!Er73"")"),0)</f>
        <v>0</v>
      </c>
      <c r="J487" s="66">
        <f ca="1">IFERROR(__xludf.DUMMYFUNCTION("IMPORTRANGE(""https://docs.google.com/spreadsheets/d/1AGHcLOeeYFL3K4b9R1dSzyJy00PE_ra89DNTVfnxSWM/edit?usp=sharing"",""รวมที่ชุมชน!U62"")"),0)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IFERROR(__xludf.DUMMYFUNCTION("IMPORTRANGE(""https://docs.google.com/spreadsheets/d/1C3CXT74ZlgGe6_JY_1olB1XN4rF0dxEuIIF-xsYjHgg/edit?usp=sharing"",""งบกองทุน!Es73"")"),0)</f>
        <v>0</v>
      </c>
      <c r="J488" s="66">
        <f ca="1">IFERROR(__xludf.DUMMYFUNCTION("IMPORTRANGE(""https://docs.google.com/spreadsheets/d/1AGHcLOeeYFL3K4b9R1dSzyJy00PE_ra89DNTVfnxSWM/edit?usp=sharing"",""รวมที่ชุมชน!V62"")"),0)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IFERROR(__xludf.DUMMYFUNCTION("IMPORTRANGE(""https://docs.google.com/spreadsheets/d/1C3CXT74ZlgGe6_JY_1olB1XN4rF0dxEuIIF-xsYjHgg/edit?usp=sharing"",""งบกองทุน!Et73"")"),0)</f>
        <v>0</v>
      </c>
      <c r="J489" s="111">
        <f ca="1">IFERROR(__xludf.DUMMYFUNCTION("IMPORTRANGE(""https://docs.google.com/spreadsheets/d/1AGHcLOeeYFL3K4b9R1dSzyJy00PE_ra89DNTVfnxSWM/edit?usp=sharing"",""รวมที่ชุมชน!X62"")"),0)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50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5350</v>
      </c>
      <c r="M490" s="259">
        <f>SUM(M491:M492)</f>
        <v>300</v>
      </c>
      <c r="N490" s="259">
        <f t="shared" ref="N490:N494" ca="1" si="109">+IF(L490&gt;0,M490*100/L490,0)</f>
        <v>5.6074766355140184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5350</v>
      </c>
      <c r="M492" s="52">
        <f t="shared" si="110"/>
        <v>300</v>
      </c>
      <c r="N492" s="52">
        <f t="shared" ca="1" si="109"/>
        <v>5.6074766355140184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IFERROR(__xludf.DUMMYFUNCTION("IMPORTRANGE(""https://docs.google.com/spreadsheets/d/1C3CXT74ZlgGe6_JY_1olB1XN4rF0dxEuIIF-xsYjHgg/edit?usp=sharing"",""งบกองทุน!Ev73"")"),0)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IFERROR(__xludf.DUMMYFUNCTION("IMPORTRANGE(""https://docs.google.com/spreadsheets/d/1C3CXT74ZlgGe6_JY_1olB1XN4rF0dxEuIIF-xsYjHgg/edit?usp=sharing"",""งบกองทุน!Ew73"")"),5350)</f>
        <v>5350</v>
      </c>
      <c r="M494" s="52">
        <f>SUM(M495:M498)</f>
        <v>300</v>
      </c>
      <c r="N494" s="52">
        <f t="shared" ca="1" si="109"/>
        <v>5.6074766355140184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300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1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IFERROR(__xludf.DUMMYFUNCTION("IMPORTRANGE(""https://docs.google.com/spreadsheets/d/1C3CXT74ZlgGe6_JY_1olB1XN4rF0dxEuIIF-xsYjHgg/edit?usp=sharing"",""งบกองทุน!EZ73"")"),50)</f>
        <v>50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IFERROR(__xludf.DUMMYFUNCTION("IMPORTRANGE(""https://docs.google.com/spreadsheets/d/1C3CXT74ZlgGe6_JY_1olB1XN4rF0dxEuIIF-xsYjHgg/edit?usp=sharing"",""งบกองทุน!ff73"")"),0)</f>
        <v>0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IFERROR(__xludf.DUMMYFUNCTION("IMPORTRANGE(""https://docs.google.com/spreadsheets/d/1muirlRDkqiswvy_NRZ3Yh955hx-PF6_HhssUYiSJj8o/edit?usp=sharing"",""กองทุน!D73"")"),1799548.1)</f>
        <v>1799548.1</v>
      </c>
      <c r="J521" s="199">
        <f ca="1">IFERROR(__xludf.DUMMYFUNCTION("IMPORTRANGE(""https://docs.google.com/spreadsheets/d/1muirlRDkqiswvy_NRZ3Yh955hx-PF6_HhssUYiSJj8o/edit?usp=sharing"",""กองทุน!F73"")"),38965.43)</f>
        <v>38965.43</v>
      </c>
      <c r="K521" s="200">
        <f t="shared" ref="K521:K528" ca="1" si="116">IF(I521&gt;0,J521*100/I521,0)</f>
        <v>2.1652897191244844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IFERROR(__xludf.DUMMYFUNCTION("IMPORTRANGE(""https://docs.google.com/spreadsheets/d/1muirlRDkqiswvy_NRZ3Yh955hx-PF6_HhssUYiSJj8o/edit?usp=sharing"",""กองทุน!C73"")"),117)</f>
        <v>117</v>
      </c>
      <c r="J522" s="199">
        <f ca="1">IFERROR(__xludf.DUMMYFUNCTION("IMPORTRANGE(""https://docs.google.com/spreadsheets/d/1muirlRDkqiswvy_NRZ3Yh955hx-PF6_HhssUYiSJj8o/edit?usp=sharing"",""กองทุน!E73"")"),6)</f>
        <v>6</v>
      </c>
      <c r="K522" s="200">
        <f t="shared" ca="1" si="116"/>
        <v>5.1282051282051286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IFERROR(__xludf.DUMMYFUNCTION("IMPORTRANGE(""https://docs.google.com/spreadsheets/d/1muirlRDkqiswvy_NRZ3Yh955hx-PF6_HhssUYiSJj8o/edit?usp=sharing"",""กองทุน!I73"")"),4148676.29999999)</f>
        <v>4148676.29999999</v>
      </c>
      <c r="J523" s="199">
        <f ca="1">IFERROR(__xludf.DUMMYFUNCTION("IMPORTRANGE(""https://docs.google.com/spreadsheets/d/1muirlRDkqiswvy_NRZ3Yh955hx-PF6_HhssUYiSJj8o/edit?usp=sharing"",""กองทุน!K73"")"),89493.88)</f>
        <v>89493.88</v>
      </c>
      <c r="K523" s="200">
        <f t="shared" ca="1" si="116"/>
        <v>2.1571670944778267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IFERROR(__xludf.DUMMYFUNCTION("IMPORTRANGE(""https://docs.google.com/spreadsheets/d/1muirlRDkqiswvy_NRZ3Yh955hx-PF6_HhssUYiSJj8o/edit?usp=sharing"",""กองทุน!H73"")"),203)</f>
        <v>203</v>
      </c>
      <c r="J524" s="199">
        <f ca="1">IFERROR(__xludf.DUMMYFUNCTION("IMPORTRANGE(""https://docs.google.com/spreadsheets/d/1muirlRDkqiswvy_NRZ3Yh955hx-PF6_HhssUYiSJj8o/edit?usp=sharing"",""กองทุน!J73"")"),54)</f>
        <v>54</v>
      </c>
      <c r="K524" s="200">
        <f t="shared" ca="1" si="116"/>
        <v>26.600985221674875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IFERROR(__xludf.DUMMYFUNCTION("IMPORTRANGE(""https://docs.google.com/spreadsheets/d/1muirlRDkqiswvy_NRZ3Yh955hx-PF6_HhssUYiSJj8o/edit?usp=sharing"",""กองทุน!N73"")"),130782.22)</f>
        <v>130782.22</v>
      </c>
      <c r="J525" s="199">
        <f ca="1">IFERROR(__xludf.DUMMYFUNCTION("IMPORTRANGE(""https://docs.google.com/spreadsheets/d/1muirlRDkqiswvy_NRZ3Yh955hx-PF6_HhssUYiSJj8o/edit?usp=sharing"",""กองทุน!P73"")"),24416.25)</f>
        <v>24416.25</v>
      </c>
      <c r="K525" s="200">
        <f t="shared" ca="1" si="116"/>
        <v>18.669395579919044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IFERROR(__xludf.DUMMYFUNCTION("IMPORTRANGE(""https://docs.google.com/spreadsheets/d/1muirlRDkqiswvy_NRZ3Yh955hx-PF6_HhssUYiSJj8o/edit?usp=sharing"",""กองทุน!M73"")"),15)</f>
        <v>15</v>
      </c>
      <c r="J526" s="199">
        <f ca="1">IFERROR(__xludf.DUMMYFUNCTION("IMPORTRANGE(""https://docs.google.com/spreadsheets/d/1muirlRDkqiswvy_NRZ3Yh955hx-PF6_HhssUYiSJj8o/edit?usp=sharing"",""กองทุน!O73"")"),3)</f>
        <v>3</v>
      </c>
      <c r="K526" s="200">
        <f t="shared" ca="1" si="116"/>
        <v>20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IFERROR(__xludf.DUMMYFUNCTION("IMPORTRANGE(""https://docs.google.com/spreadsheets/d/1muirlRDkqiswvy_NRZ3Yh955hx-PF6_HhssUYiSJj8o/edit?usp=sharing"",""กองทุน!S73"")"),2000000)</f>
        <v>2000000</v>
      </c>
      <c r="J527" s="199">
        <f ca="1">IFERROR(__xludf.DUMMYFUNCTION("IMPORTRANGE(""https://docs.google.com/spreadsheets/d/1muirlRDkqiswvy_NRZ3Yh955hx-PF6_HhssUYiSJj8o/edit?usp=sharing"",""กองทุน!U73"")"),0)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IFERROR(__xludf.DUMMYFUNCTION("IMPORTRANGE(""https://docs.google.com/spreadsheets/d/1muirlRDkqiswvy_NRZ3Yh955hx-PF6_HhssUYiSJj8o/edit?usp=sharing"",""กองทุน!R73"")"),76)</f>
        <v>76</v>
      </c>
      <c r="J528" s="324">
        <f ca="1">IFERROR(__xludf.DUMMYFUNCTION("IMPORTRANGE(""https://docs.google.com/spreadsheets/d/1muirlRDkqiswvy_NRZ3Yh955hx-PF6_HhssUYiSJj8o/edit?usp=sharing"",""กองทุน!T73"")"),0)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A5" sqref="A5:G5"/>
      <selection pane="bottomLeft" activeCell="A5" sqref="A5:G5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68" t="s">
        <v>0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</row>
    <row r="2" spans="1:14" ht="18" customHeight="1" x14ac:dyDescent="0.55000000000000004">
      <c r="A2" s="368" t="s">
        <v>239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</row>
    <row r="3" spans="1:14" ht="18" customHeight="1" x14ac:dyDescent="0.55000000000000004">
      <c r="A3" s="368" t="s">
        <v>247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70" t="s">
        <v>4</v>
      </c>
      <c r="B5" s="371"/>
      <c r="C5" s="371"/>
      <c r="D5" s="371"/>
      <c r="E5" s="371"/>
      <c r="F5" s="371"/>
      <c r="G5" s="372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3215965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2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1817200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180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IFERROR(__xludf.DUMMYFUNCTION("IMPORTRANGE(""https://docs.google.com/spreadsheets/d/1C3CXT74ZlgGe6_JY_1olB1XN4rF0dxEuIIF-xsYjHgg/edit?usp=sharing"",""พรบ!C74"")"),1817200)</f>
        <v>1817200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47"/>
      <c r="K13" s="48"/>
      <c r="L13" s="52">
        <f ca="1">IFERROR(__xludf.DUMMYFUNCTION("IMPORTRANGE(""https://docs.google.com/spreadsheets/d/1C3CXT74ZlgGe6_JY_1olB1XN4rF0dxEuIIF-xsYjHgg/edit?usp=sharing"",""พรบ!D74"")"),439200)</f>
        <v>439200</v>
      </c>
      <c r="M13" s="53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47"/>
      <c r="K14" s="48"/>
      <c r="L14" s="52">
        <f ca="1">IFERROR(__xludf.DUMMYFUNCTION("IMPORTRANGE(""https://docs.google.com/spreadsheets/d/1C3CXT74ZlgGe6_JY_1olB1XN4rF0dxEuIIF-xsYjHgg/edit?usp=sharing"",""พรบ!E74"")"),1378000)</f>
        <v>1378000</v>
      </c>
      <c r="M14" s="53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v>0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v>0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7">
        <v>0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7">
        <v>0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2</v>
      </c>
      <c r="J20" s="78">
        <f t="shared" si="5"/>
        <v>0</v>
      </c>
      <c r="K20" s="79">
        <f t="shared" ref="K20:K28" ca="1" si="6">IF(I20&gt;0,J20*100/I20,0)</f>
        <v>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180</v>
      </c>
      <c r="J21" s="78">
        <f t="shared" si="7"/>
        <v>0</v>
      </c>
      <c r="K21" s="79">
        <f t="shared" ca="1" si="6"/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IFERROR(__xludf.DUMMYFUNCTION("IMPORTRANGE(""https://docs.google.com/spreadsheets/d/1C3CXT74ZlgGe6_JY_1olB1XN4rF0dxEuIIF-xsYjHgg/edit?usp=sharing"",""พรบ!H74"")"),1)</f>
        <v>1</v>
      </c>
      <c r="J22" s="67">
        <v>0</v>
      </c>
      <c r="K22" s="48">
        <f t="shared" ca="1" si="6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IFERROR(__xludf.DUMMYFUNCTION("IMPORTRANGE(""https://docs.google.com/spreadsheets/d/1C3CXT74ZlgGe6_JY_1olB1XN4rF0dxEuIIF-xsYjHgg/edit?usp=sharing"",""พรบ!I74"")"),80)</f>
        <v>80</v>
      </c>
      <c r="J23" s="67">
        <v>0</v>
      </c>
      <c r="K23" s="48">
        <f t="shared" ca="1" si="6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IFERROR(__xludf.DUMMYFUNCTION("IMPORTRANGE(""https://docs.google.com/spreadsheets/d/1C3CXT74ZlgGe6_JY_1olB1XN4rF0dxEuIIF-xsYjHgg/edit?usp=sharing"",""พรบ!J74"")"),1)</f>
        <v>1</v>
      </c>
      <c r="J24" s="67">
        <v>0</v>
      </c>
      <c r="K24" s="48">
        <f t="shared" ca="1" si="6"/>
        <v>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IFERROR(__xludf.DUMMYFUNCTION("IMPORTRANGE(""https://docs.google.com/spreadsheets/d/1C3CXT74ZlgGe6_JY_1olB1XN4rF0dxEuIIF-xsYjHgg/edit?usp=sharing"",""พรบ!K74"")"),100)</f>
        <v>100</v>
      </c>
      <c r="J25" s="67">
        <v>0</v>
      </c>
      <c r="K25" s="48">
        <f t="shared" ca="1" si="6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IFERROR(__xludf.DUMMYFUNCTION("IMPORTRANGE(""https://docs.google.com/spreadsheets/d/1C3CXT74ZlgGe6_JY_1olB1XN4rF0dxEuIIF-xsYjHgg/edit?usp=sharing"",""พรบ!L74"")"),0)</f>
        <v>0</v>
      </c>
      <c r="J26" s="66">
        <v>0</v>
      </c>
      <c r="K26" s="48">
        <f t="shared" ca="1" si="6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IFERROR(__xludf.DUMMYFUNCTION("IMPORTRANGE(""https://docs.google.com/spreadsheets/d/1C3CXT74ZlgGe6_JY_1olB1XN4rF0dxEuIIF-xsYjHgg/edit?usp=sharing"",""พรบ!M74"")"),0)</f>
        <v>0</v>
      </c>
      <c r="J27" s="66">
        <v>0</v>
      </c>
      <c r="K27" s="48">
        <f t="shared" ca="1" si="6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v>0</v>
      </c>
      <c r="J28" s="67">
        <v>0</v>
      </c>
      <c r="K28" s="48">
        <f t="shared" si="6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7"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IFERROR(__xludf.DUMMYFUNCTION("IMPORTRANGE(""https://docs.google.com/spreadsheets/d/1C3CXT74ZlgGe6_JY_1olB1XN4rF0dxEuIIF-xsYjHgg/edit?usp=sharing"",""พรบ!O74"")"),0)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IFERROR(__xludf.DUMMYFUNCTION("IMPORTRANGE(""https://docs.google.com/spreadsheets/d/1C3CXT74ZlgGe6_JY_1olB1XN4rF0dxEuIIF-xsYjHgg/edit?usp=sharing"",""พรบ!P74"")"),0)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IFERROR(__xludf.DUMMYFUNCTION("IMPORTRANGE(""https://docs.google.com/spreadsheets/d/1C3CXT74ZlgGe6_JY_1olB1XN4rF0dxEuIIF-xsYjHgg/edit?usp=sharing"",""พรบ!Q74"")"),0)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IFERROR(__xludf.DUMMYFUNCTION("IMPORTRANGE(""https://docs.google.com/spreadsheets/d/1C3CXT74ZlgGe6_JY_1olB1XN4rF0dxEuIIF-xsYjHgg/edit?usp=sharing"",""พรบ!R74"")"),0)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IFERROR(__xludf.DUMMYFUNCTION("IMPORTRANGE(""https://docs.google.com/spreadsheets/d/1C3CXT74ZlgGe6_JY_1olB1XN4rF0dxEuIIF-xsYjHgg/edit?usp=sharing"",""พรบ!S74"")"),0)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IFERROR(__xludf.DUMMYFUNCTION("IMPORTRANGE(""https://docs.google.com/spreadsheets/d/1C3CXT74ZlgGe6_JY_1olB1XN4rF0dxEuIIF-xsYjHgg/edit?usp=sharing"",""พรบ!T74"")"),0)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IFERROR(__xludf.DUMMYFUNCTION("IMPORTRANGE(""https://docs.google.com/spreadsheets/d/1C3CXT74ZlgGe6_JY_1olB1XN4rF0dxEuIIF-xsYjHgg/edit?usp=sharing"",""พรบ!U74"")"),0)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IFERROR(__xludf.DUMMYFUNCTION("IMPORTRANGE(""https://docs.google.com/spreadsheets/d/1C3CXT74ZlgGe6_JY_1olB1XN4rF0dxEuIIF-xsYjHgg/edit?usp=sharing"",""พรบ!V74"")"),0)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IFERROR(__xludf.DUMMYFUNCTION("IMPORTRANGE(""https://docs.google.com/spreadsheets/d/1C3CXT74ZlgGe6_JY_1olB1XN4rF0dxEuIIF-xsYjHgg/edit?usp=sharing"",""พรบ!W74"")"),0)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6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15</v>
      </c>
      <c r="J52" s="38">
        <f>+J62</f>
        <v>0</v>
      </c>
      <c r="K52" s="39">
        <f ca="1">IF(I52&gt;0,J52*100/I52,0)</f>
        <v>0</v>
      </c>
      <c r="L52" s="40">
        <f ca="1">L53+L54</f>
        <v>64890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64890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IFERROR(__xludf.DUMMYFUNCTION("IMPORTRANGE(""https://docs.google.com/spreadsheets/d/1C3CXT74ZlgGe6_JY_1olB1XN4rF0dxEuIIF-xsYjHgg/edit?usp=sharing"",""พรบ!Y74"")"),0)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47"/>
      <c r="K56" s="48"/>
      <c r="L56" s="52">
        <f ca="1">IFERROR(__xludf.DUMMYFUNCTION("IMPORTRANGE(""https://docs.google.com/spreadsheets/d/1C3CXT74ZlgGe6_JY_1olB1XN4rF0dxEuIIF-xsYjHgg/edit?usp=sharing"",""พรบ!Z74"")"),64890)</f>
        <v>64890</v>
      </c>
      <c r="M56" s="53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246</v>
      </c>
      <c r="E57" s="57"/>
      <c r="F57" s="57"/>
      <c r="G57" s="58"/>
      <c r="H57" s="59"/>
      <c r="I57" s="47"/>
      <c r="J57" s="47"/>
      <c r="K57" s="48"/>
      <c r="L57" s="60"/>
      <c r="M57" s="60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7">
        <v>0</v>
      </c>
      <c r="K58" s="48"/>
      <c r="L58" s="60"/>
      <c r="M58" s="60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7">
        <v>0</v>
      </c>
      <c r="K59" s="48"/>
      <c r="L59" s="60" t="s">
        <v>21</v>
      </c>
      <c r="M59" s="60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7">
        <v>0</v>
      </c>
      <c r="K60" s="48"/>
      <c r="L60" s="60"/>
      <c r="M60" s="60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7">
        <v>0</v>
      </c>
      <c r="K61" s="48"/>
      <c r="L61" s="60"/>
      <c r="M61" s="60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IFERROR(__xludf.DUMMYFUNCTION("IMPORTRANGE(""https://docs.google.com/spreadsheets/d/1C3CXT74ZlgGe6_JY_1olB1XN4rF0dxEuIIF-xsYjHgg/edit?usp=sharing"",""พรบ!AA74"")"),15)</f>
        <v>15</v>
      </c>
      <c r="J62" s="67">
        <v>0</v>
      </c>
      <c r="K62" s="48">
        <f t="shared" ref="K62:K63" ca="1" si="14">IF(I62&gt;0,J62*100/I62,0)</f>
        <v>0</v>
      </c>
      <c r="L62" s="60"/>
      <c r="M62" s="60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15</v>
      </c>
      <c r="J63" s="67">
        <v>0</v>
      </c>
      <c r="K63" s="48">
        <f t="shared" ca="1" si="14"/>
        <v>0</v>
      </c>
      <c r="L63" s="60"/>
      <c r="M63" s="60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7">
        <v>0</v>
      </c>
      <c r="K64" s="48"/>
      <c r="L64" s="60"/>
      <c r="M64" s="60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112">
        <v>0</v>
      </c>
      <c r="K65" s="113"/>
      <c r="L65" s="114"/>
      <c r="M65" s="114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97500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97500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IFERROR(__xludf.DUMMYFUNCTION("IMPORTRANGE(""https://docs.google.com/spreadsheets/d/1C3CXT74ZlgGe6_JY_1olB1XN4rF0dxEuIIF-xsYjHgg/edit?usp=sharing"",""พรบ!AD74"")"),0)</f>
        <v>0</v>
      </c>
      <c r="M72" s="52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97500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IFERROR(__xludf.DUMMYFUNCTION("IMPORTRANGE(""https://docs.google.com/spreadsheets/d/1C3CXT74ZlgGe6_JY_1olB1XN4rF0dxEuIIF-xsYjHgg/edit?usp=sharing"",""พรบ!AF74"")"),7500)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IFERROR(__xludf.DUMMYFUNCTION("IMPORTRANGE(""https://docs.google.com/spreadsheets/d/1C3CXT74ZlgGe6_JY_1olB1XN4rF0dxEuIIF-xsYjHgg/edit?usp=sharing"",""พรบ!AG74"")"),4)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4</v>
      </c>
      <c r="J89" s="149">
        <f t="shared" si="21"/>
        <v>0</v>
      </c>
      <c r="K89" s="150">
        <f ca="1">IF(I89&gt;0,J89*100/I89,0)</f>
        <v>0</v>
      </c>
      <c r="L89" s="147">
        <f ca="1">L90+L91</f>
        <v>56000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56000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IFERROR(__xludf.DUMMYFUNCTION("IMPORTRANGE(""https://docs.google.com/spreadsheets/d/1C3CXT74ZlgGe6_JY_1olB1XN4rF0dxEuIIF-xsYjHgg/edit?usp=sharing"",""พรบ!AH74"")"),56000)</f>
        <v>56000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IFERROR(__xludf.DUMMYFUNCTION("IMPORTRANGE(""https://docs.google.com/spreadsheets/d/1C3CXT74ZlgGe6_JY_1olB1XN4rF0dxEuIIF-xsYjHgg/edit?usp=sharing"",""พรบ!AI74"")"),4)</f>
        <v>4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IFERROR(__xludf.DUMMYFUNCTION("IMPORTRANGE(""https://docs.google.com/spreadsheets/d/1C3CXT74ZlgGe6_JY_1olB1XN4rF0dxEuIIF-xsYjHgg/edit?usp=sharing"",""กปร!C74"")"),48000)</f>
        <v>48000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66"/>
      <c r="K102" s="232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66"/>
      <c r="K103" s="232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IFERROR(__xludf.DUMMYFUNCTION("IMPORTRANGE(""https://docs.google.com/spreadsheets/d/1C3CXT74ZlgGe6_JY_1olB1XN4rF0dxEuIIF-xsYjHgg/edit?usp=sharing"",""พรบ!AJ74"")"),0)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IFERROR(__xludf.DUMMYFUNCTION("IMPORTRANGE(""https://docs.google.com/spreadsheets/d/1C3CXT74ZlgGe6_JY_1olB1XN4rF0dxEuIIF-xsYjHgg/edit?usp=sharing"",""พรบ!AK74"")"),0)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IFERROR(__xludf.DUMMYFUNCTION("IMPORTRANGE(""https://docs.google.com/spreadsheets/d/1C3CXT74ZlgGe6_JY_1olB1XN4rF0dxEuIIF-xsYjHgg/edit?usp=sharing"",""กปร!D74"")"),0)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IFERROR(__xludf.DUMMYFUNCTION("IMPORTRANGE(""https://docs.google.com/spreadsheets/d/1C3CXT74ZlgGe6_JY_1olB1XN4rF0dxEuIIF-xsYjHgg/edit?usp=sharing"",""พรบ!AL74"")"),0)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IFERROR(__xludf.DUMMYFUNCTION("IMPORTRANGE(""https://docs.google.com/spreadsheets/d/1C3CXT74ZlgGe6_JY_1olB1XN4rF0dxEuIIF-xsYjHgg/edit?usp=sharing"",""กปร!E74"")"),0)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6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100000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34000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34000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IFERROR(__xludf.DUMMYFUNCTION("IMPORTRANGE(""https://docs.google.com/spreadsheets/d/1C3CXT74ZlgGe6_JY_1olB1XN4rF0dxEuIIF-xsYjHgg/edit?usp=sharing"",""พรบ!AM74"")"),34000)</f>
        <v>34000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IFERROR(__xludf.DUMMYFUNCTION("IMPORTRANGE(""https://docs.google.com/spreadsheets/d/1C3CXT74ZlgGe6_JY_1olB1XN4rF0dxEuIIF-xsYjHgg/edit?usp=sharing"",""พรบ!AO74"")"),100000)</f>
        <v>100000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IFERROR(__xludf.DUMMYFUNCTION("IMPORTRANGE(""https://docs.google.com/spreadsheets/d/1C3CXT74ZlgGe6_JY_1olB1XN4rF0dxEuIIF-xsYjHgg/edit?usp=sharing"",""พรบ!AP74"")"),100000)</f>
        <v>100000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IFERROR(__xludf.DUMMYFUNCTION("IMPORTRANGE(""https://docs.google.com/spreadsheets/d/1C3CXT74ZlgGe6_JY_1olB1XN4rF0dxEuIIF-xsYjHgg/edit?usp=sharing"",""กปร!F74"")"),25000)</f>
        <v>25000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IFERROR(__xludf.DUMMYFUNCTION("IMPORTRANGE(""https://docs.google.com/spreadsheets/d/1C3CXT74ZlgGe6_JY_1olB1XN4rF0dxEuIIF-xsYjHgg/edit?usp=sharing"",""พรบ!AQ74"")"),0)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IFERROR(__xludf.DUMMYFUNCTION("IMPORTRANGE(""https://docs.google.com/spreadsheets/d/1C3CXT74ZlgGe6_JY_1olB1XN4rF0dxEuIIF-xsYjHgg/edit?usp=sharing"",""กปร!G74"")"),0)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IFERROR(__xludf.DUMMYFUNCTION("IMPORTRANGE(""https://docs.google.com/spreadsheets/d/1C3CXT74ZlgGe6_JY_1olB1XN4rF0dxEuIIF-xsYjHgg/edit?usp=sharing"",""พรบ!AR74"")"),0)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IFERROR(__xludf.DUMMYFUNCTION("IMPORTRANGE(""https://docs.google.com/spreadsheets/d/1C3CXT74ZlgGe6_JY_1olB1XN4rF0dxEuIIF-xsYjHgg/edit?usp=sharing"",""พรบ!AS74"")"),0)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IFERROR(__xludf.DUMMYFUNCTION("IMPORTRANGE(""https://docs.google.com/spreadsheets/d/1C3CXT74ZlgGe6_JY_1olB1XN4rF0dxEuIIF-xsYjHgg/edit?usp=sharing"",""กปร!H74"")"),0)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IFERROR(__xludf.DUMMYFUNCTION("IMPORTRANGE(""https://docs.google.com/spreadsheets/d/1C3CXT74ZlgGe6_JY_1olB1XN4rF0dxEuIIF-xsYjHgg/edit?usp=sharing"",""พรบ!AT74"")"),0)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IFERROR(__xludf.DUMMYFUNCTION("IMPORTRANGE(""https://docs.google.com/spreadsheets/d/1C3CXT74ZlgGe6_JY_1olB1XN4rF0dxEuIIF-xsYjHgg/edit?usp=sharing"",""กปร!I74"")"),0)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IFERROR(__xludf.DUMMYFUNCTION("IMPORTRANGE(""https://docs.google.com/spreadsheets/d/1C3CXT74ZlgGe6_JY_1olB1XN4rF0dxEuIIF-xsYjHgg/edit?usp=sharing"",""พรบ!AU74"")"),0)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IFERROR(__xludf.DUMMYFUNCTION("IMPORTRANGE(""https://docs.google.com/spreadsheets/d/1C3CXT74ZlgGe6_JY_1olB1XN4rF0dxEuIIF-xsYjHgg/edit?usp=sharing"",""กปร!J74"")"),0)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7">
        <v>0</v>
      </c>
      <c r="K143" s="358"/>
      <c r="L143" s="359"/>
      <c r="M143" s="359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15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21125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21125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IFERROR(__xludf.DUMMYFUNCTION("IMPORTRANGE(""https://docs.google.com/spreadsheets/d/1C3CXT74ZlgGe6_JY_1olB1XN4rF0dxEuIIF-xsYjHgg/edit?usp=sharing"",""พรบ!AY74"")"),21125)</f>
        <v>21125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15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IFERROR(__xludf.DUMMYFUNCTION("IMPORTRANGE(""https://docs.google.com/spreadsheets/d/1C3CXT74ZlgGe6_JY_1olB1XN4rF0dxEuIIF-xsYjHgg/edit?usp=sharing"",""พรบ!BA74"")"),15)</f>
        <v>15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25</v>
      </c>
      <c r="J169" s="177">
        <f>+J180</f>
        <v>0</v>
      </c>
      <c r="K169" s="178">
        <f ca="1">IF(I169&gt;0,J169*100/I169,0)</f>
        <v>0</v>
      </c>
      <c r="L169" s="179">
        <f ca="1">L170+L171</f>
        <v>199500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199500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47"/>
      <c r="K172" s="48"/>
      <c r="L172" s="52">
        <f ca="1">IFERROR(__xludf.DUMMYFUNCTION("IMPORTRANGE(""https://docs.google.com/spreadsheets/d/1C3CXT74ZlgGe6_JY_1olB1XN4rF0dxEuIIF-xsYjHgg/edit?usp=sharing"",""พรบ!BD74"")"),0)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47"/>
      <c r="K173" s="48"/>
      <c r="L173" s="52">
        <f ca="1">IFERROR(__xludf.DUMMYFUNCTION("IMPORTRANGE(""https://docs.google.com/spreadsheets/d/1C3CXT74ZlgGe6_JY_1olB1XN4rF0dxEuIIF-xsYjHgg/edit?usp=sharing"",""พรบ!BE74"")"),199500)</f>
        <v>199500</v>
      </c>
      <c r="M173" s="53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v>0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v>0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v>0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v>0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IFERROR(__xludf.DUMMYFUNCTION("IMPORTRANGE(""https://docs.google.com/spreadsheets/d/1C3CXT74ZlgGe6_JY_1olB1XN4rF0dxEuIIF-xsYjHgg/edit?usp=sharing"",""พรบ!BF74"")"),1)</f>
        <v>1</v>
      </c>
      <c r="J179" s="67">
        <v>0</v>
      </c>
      <c r="K179" s="48">
        <f t="shared" ref="K179:K182" ca="1" si="41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IFERROR(__xludf.DUMMYFUNCTION("IMPORTRANGE(""https://docs.google.com/spreadsheets/d/1C3CXT74ZlgGe6_JY_1olB1XN4rF0dxEuIIF-xsYjHgg/edit?usp=sharing"",""พรบ!BG74"")"),25)</f>
        <v>25</v>
      </c>
      <c r="J180" s="67">
        <v>0</v>
      </c>
      <c r="K180" s="48">
        <f t="shared" ca="1" si="41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IFERROR(__xludf.DUMMYFUNCTION("IMPORTRANGE(""https://docs.google.com/spreadsheets/d/1C3CXT74ZlgGe6_JY_1olB1XN4rF0dxEuIIF-xsYjHgg/edit?usp=sharing"",""พรบ!BH74"")"),25)</f>
        <v>25</v>
      </c>
      <c r="J181" s="67">
        <v>0</v>
      </c>
      <c r="K181" s="48">
        <f t="shared" ca="1" si="41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IFERROR(__xludf.DUMMYFUNCTION("IMPORTRANGE(""https://docs.google.com/spreadsheets/d/1C3CXT74ZlgGe6_JY_1olB1XN4rF0dxEuIIF-xsYjHgg/edit?usp=sharing"",""พรบ!BI74"")"),1)</f>
        <v>1</v>
      </c>
      <c r="J182" s="67">
        <v>0</v>
      </c>
      <c r="K182" s="48">
        <f t="shared" ca="1" si="41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v>0</v>
      </c>
      <c r="K183" s="48"/>
      <c r="L183" s="60"/>
      <c r="M183" s="60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112">
        <v>0</v>
      </c>
      <c r="K184" s="113"/>
      <c r="L184" s="114"/>
      <c r="M184" s="114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15</v>
      </c>
      <c r="J185" s="177">
        <f>+J195</f>
        <v>0</v>
      </c>
      <c r="K185" s="178">
        <f ca="1">IF(I185&gt;0,J185*100/I185,0)</f>
        <v>0</v>
      </c>
      <c r="L185" s="179">
        <f ca="1">L186+L187</f>
        <v>55200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55200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IFERROR(__xludf.DUMMYFUNCTION("IMPORTRANGE(""https://docs.google.com/spreadsheets/d/1C3CXT74ZlgGe6_JY_1olB1XN4rF0dxEuIIF-xsYjHgg/edit?usp=sharing"",""พรบ!BK74"")"),0)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IFERROR(__xludf.DUMMYFUNCTION("IMPORTRANGE(""https://docs.google.com/spreadsheets/d/1C3CXT74ZlgGe6_JY_1olB1XN4rF0dxEuIIF-xsYjHgg/edit?usp=sharing"",""พรบ!BL74"")"),55200)</f>
        <v>55200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0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0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IFERROR(__xludf.DUMMYFUNCTION("IMPORTRANGE(""https://docs.google.com/spreadsheets/d/1C3CXT74ZlgGe6_JY_1olB1XN4rF0dxEuIIF-xsYjHgg/edit?usp=sharing"",""พรบ!BM74"")"),15)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IFERROR(__xludf.DUMMYFUNCTION("IMPORTRANGE(""https://docs.google.com/spreadsheets/d/1C3CXT74ZlgGe6_JY_1olB1XN4rF0dxEuIIF-xsYjHgg/edit?usp=sharing"",""พรบ!BP74"")"),0)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IFERROR(__xludf.DUMMYFUNCTION("IMPORTRANGE(""https://docs.google.com/spreadsheets/d/1C3CXT74ZlgGe6_JY_1olB1XN4rF0dxEuIIF-xsYjHgg/edit?usp=sharing"",""พรบ!BQ74"")"),0)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IFERROR(__xludf.DUMMYFUNCTION("IMPORTRANGE(""https://docs.google.com/spreadsheets/d/1C3CXT74ZlgGe6_JY_1olB1XN4rF0dxEuIIF-xsYjHgg/edit?usp=sharing"",""พรบ!BR74"")"),0)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IFERROR(__xludf.DUMMYFUNCTION("IMPORTRANGE(""https://docs.google.com/spreadsheets/d/1C3CXT74ZlgGe6_JY_1olB1XN4rF0dxEuIIF-xsYjHgg/edit?usp=sharing"",""พรบ!BU74"")"),0)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IFERROR(__xludf.DUMMYFUNCTION("IMPORTRANGE(""https://docs.google.com/spreadsheets/d/1C3CXT74ZlgGe6_JY_1olB1XN4rF0dxEuIIF-xsYjHgg/edit?usp=sharing"",""พรบ!BV74"")"),0)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170</v>
      </c>
      <c r="J228" s="197">
        <f ca="1">J240</f>
        <v>9</v>
      </c>
      <c r="K228" s="178">
        <f ca="1">IF(I228&gt;0,J228*100/I228,0)</f>
        <v>5.2941176470588234</v>
      </c>
      <c r="L228" s="179">
        <f ca="1">L229+L230</f>
        <v>960550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960550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IFERROR(__xludf.DUMMYFUNCTION("IMPORTRANGE(""https://docs.google.com/spreadsheets/d/1C3CXT74ZlgGe6_JY_1olB1XN4rF0dxEuIIF-xsYjHgg/edit?usp=sharing"",""พรบ!BX74"")"),500400)</f>
        <v>500400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IFERROR(__xludf.DUMMYFUNCTION("IMPORTRANGE(""https://docs.google.com/spreadsheets/d/1C3CXT74ZlgGe6_JY_1olB1XN4rF0dxEuIIF-xsYjHgg/edit?usp=sharing"",""พรบ!BY74"")"),460150)</f>
        <v>460150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IFERROR(__xludf.DUMMYFUNCTION("IMPORTRANGE(""https://docs.google.com/spreadsheets/d/1AGHcLOeeYFL3K4b9R1dSzyJy00PE_ra89DNTVfnxSWM/edit?usp=sharing"",""รวมที่ทำกิน!J63"")"),0)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IFERROR(__xludf.DUMMYFUNCTION("IMPORTRANGE(""https://docs.google.com/spreadsheets/d/1C3CXT74ZlgGe6_JY_1olB1XN4rF0dxEuIIF-xsYjHgg/edit?usp=sharing"",""พรบ!BZ74"")"),3250)</f>
        <v>3250</v>
      </c>
      <c r="J235" s="66">
        <f ca="1">IFERROR(__xludf.DUMMYFUNCTION("IMPORTRANGE(""https://docs.google.com/spreadsheets/d/1AGHcLOeeYFL3K4b9R1dSzyJy00PE_ra89DNTVfnxSWM/edit?usp=sharing"",""รวมที่ทำกิน!L63"")"),0)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IFERROR(__xludf.DUMMYFUNCTION("IMPORTRANGE(""https://docs.google.com/spreadsheets/d/1C3CXT74ZlgGe6_JY_1olB1XN4rF0dxEuIIF-xsYjHgg/edit?usp=sharing"",""พรบ!CA74"")"),170)</f>
        <v>170</v>
      </c>
      <c r="J236" s="66">
        <f ca="1">IFERROR(__xludf.DUMMYFUNCTION("IMPORTRANGE(""https://docs.google.com/spreadsheets/d/1AGHcLOeeYFL3K4b9R1dSzyJy00PE_ra89DNTVfnxSWM/edit?usp=sharing"",""รวมที่ทำกิน!O63"")"),9)</f>
        <v>9</v>
      </c>
      <c r="K236" s="200">
        <f t="shared" ca="1" si="52"/>
        <v>5.2941176470588234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IFERROR(__xludf.DUMMYFUNCTION("IMPORTRANGE(""https://docs.google.com/spreadsheets/d/1AGHcLOeeYFL3K4b9R1dSzyJy00PE_ra89DNTVfnxSWM/edit?usp=sharing"",""รวมที่ทำกิน!Q63"")"),120.69)</f>
        <v>120.69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IFERROR(__xludf.DUMMYFUNCTION("IMPORTRANGE(""https://docs.google.com/spreadsheets/d/1C3CXT74ZlgGe6_JY_1olB1XN4rF0dxEuIIF-xsYjHgg/edit?usp=sharing"",""พรบ!CB74"")"),170)</f>
        <v>170</v>
      </c>
      <c r="J238" s="66">
        <f ca="1">IFERROR(__xludf.DUMMYFUNCTION("IMPORTRANGE(""https://docs.google.com/spreadsheets/d/1AGHcLOeeYFL3K4b9R1dSzyJy00PE_ra89DNTVfnxSWM/edit?usp=sharing"",""รวมที่ทำกิน!S63"")"),0)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IFERROR(__xludf.DUMMYFUNCTION("IMPORTRANGE(""https://docs.google.com/spreadsheets/d/1AGHcLOeeYFL3K4b9R1dSzyJy00PE_ra89DNTVfnxSWM/edit?usp=sharing"",""รวมที่ทำกิน!U63"")"),0)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IFERROR(__xludf.DUMMYFUNCTION("IMPORTRANGE(""https://docs.google.com/spreadsheets/d/1C3CXT74ZlgGe6_JY_1olB1XN4rF0dxEuIIF-xsYjHgg/edit?usp=sharing"",""พรบ!CC74"")"),170)</f>
        <v>170</v>
      </c>
      <c r="J240" s="66">
        <f ca="1">IFERROR(__xludf.DUMMYFUNCTION("IMPORTRANGE(""https://docs.google.com/spreadsheets/d/1AGHcLOeeYFL3K4b9R1dSzyJy00PE_ra89DNTVfnxSWM/edit?usp=sharing"",""รวมที่ทำกิน!W63"")"),9)</f>
        <v>9</v>
      </c>
      <c r="K240" s="200">
        <f t="shared" ca="1" si="52"/>
        <v>5.2941176470588234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IFERROR(__xludf.DUMMYFUNCTION("IMPORTRANGE(""https://docs.google.com/spreadsheets/d/1AGHcLOeeYFL3K4b9R1dSzyJy00PE_ra89DNTVfnxSWM/edit?usp=sharing"",""รวมที่ทำกิน!Y63"")"),120.69)</f>
        <v>120.69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2550401</v>
      </c>
      <c r="M242" s="213">
        <f t="shared" si="53"/>
        <v>0</v>
      </c>
      <c r="N242" s="213">
        <f ca="1">+IF(L242&gt;0,M242*100/L242,0)</f>
        <v>0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60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289160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40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289160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IFERROR(__xludf.DUMMYFUNCTION("IMPORTRANGE(""https://docs.google.com/spreadsheets/d/1C3CXT74ZlgGe6_JY_1olB1XN4rF0dxEuIIF-xsYjHgg/edit?usp=sharing"",""งบกองทุน!d74"")"),0)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IFERROR(__xludf.DUMMYFUNCTION("IMPORTRANGE(""https://docs.google.com/spreadsheets/d/1C3CXT74ZlgGe6_JY_1olB1XN4rF0dxEuIIF-xsYjHgg/edit?usp=sharing"",""งบกองทุน!e74"")"),289160)</f>
        <v>289160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0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0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IFERROR(__xludf.DUMMYFUNCTION("IMPORTRANGE(""https://docs.google.com/spreadsheets/d/1C3CXT74ZlgGe6_JY_1olB1XN4rF0dxEuIIF-xsYjHgg/edit?usp=sharing"",""งบกองทุน!f74"")"),0)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60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IFERROR(__xludf.DUMMYFUNCTION("IMPORTRANGE(""https://docs.google.com/spreadsheets/d/1C3CXT74ZlgGe6_JY_1olB1XN4rF0dxEuIIF-xsYjHgg/edit?usp=sharing"",""งบกองทุน!H74"")"),40)</f>
        <v>40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IFERROR(__xludf.DUMMYFUNCTION("IMPORTRANGE(""https://docs.google.com/spreadsheets/d/1C3CXT74ZlgGe6_JY_1olB1XN4rF0dxEuIIF-xsYjHgg/edit?usp=sharing"",""งบกองทุน!i74"")"),30)</f>
        <v>30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40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IFERROR(__xludf.DUMMYFUNCTION("IMPORTRANGE(""https://docs.google.com/spreadsheets/d/1C3CXT74ZlgGe6_JY_1olB1XN4rF0dxEuIIF-xsYjHgg/edit?usp=sharing"",""งบกองทุน!k74"")"),30)</f>
        <v>30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40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IFERROR(__xludf.DUMMYFUNCTION("IMPORTRANGE(""https://docs.google.com/spreadsheets/d/1C3CXT74ZlgGe6_JY_1olB1XN4rF0dxEuIIF-xsYjHgg/edit?usp=sharing"",""งบกองทุน!m74"")"),0)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60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IFERROR(__xludf.DUMMYFUNCTION("IMPORTRANGE(""https://docs.google.com/spreadsheets/d/1C3CXT74ZlgGe6_JY_1olB1XN4rF0dxEuIIF-xsYjHgg/edit?usp=sharing"",""งบกองทุน!o74"")"),30)</f>
        <v>30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IFERROR(__xludf.DUMMYFUNCTION("IMPORTRANGE(""https://docs.google.com/spreadsheets/d/1C3CXT74ZlgGe6_JY_1olB1XN4rF0dxEuIIF-xsYjHgg/edit?usp=sharing"",""งบกองทุน!p74"")"),30)</f>
        <v>30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1000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1028520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100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1028520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IFERROR(__xludf.DUMMYFUNCTION("IMPORTRANGE(""https://docs.google.com/spreadsheets/d/1C3CXT74ZlgGe6_JY_1olB1XN4rF0dxEuIIF-xsYjHgg/edit?usp=sharing"",""งบกองทุน!r74"")"),0)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IFERROR(__xludf.DUMMYFUNCTION("IMPORTRANGE(""https://docs.google.com/spreadsheets/d/1C3CXT74ZlgGe6_JY_1olB1XN4rF0dxEuIIF-xsYjHgg/edit?usp=sharing"",""งบกองทุน!s74"")"),1028520)</f>
        <v>1028520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0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IFERROR(__xludf.DUMMYFUNCTION("IMPORTRANGE(""https://docs.google.com/spreadsheets/d/1C3CXT74ZlgGe6_JY_1olB1XN4rF0dxEuIIF-xsYjHgg/edit?usp=sharing"",""งบกองทุน!v74"")"),100)</f>
        <v>100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IFERROR(__xludf.DUMMYFUNCTION("IMPORTRANGE(""https://docs.google.com/spreadsheets/d/1C3CXT74ZlgGe6_JY_1olB1XN4rF0dxEuIIF-xsYjHgg/edit?usp=sharing"",""งบกองทุน!w74"")"),1000)</f>
        <v>1000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IFERROR(__xludf.DUMMYFUNCTION("IMPORTRANGE(""https://docs.google.com/spreadsheets/d/1C3CXT74ZlgGe6_JY_1olB1XN4rF0dxEuIIF-xsYjHgg/edit?usp=sharing"",""งบกองทุน!x74"")"),100)</f>
        <v>100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150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172800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50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172800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IFERROR(__xludf.DUMMYFUNCTION("IMPORTRANGE(""https://docs.google.com/spreadsheets/d/1C3CXT74ZlgGe6_JY_1olB1XN4rF0dxEuIIF-xsYjHgg/edit?usp=sharing"",""งบกองทุน!z74"")"),0)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IFERROR(__xludf.DUMMYFUNCTION("IMPORTRANGE(""https://docs.google.com/spreadsheets/d/1C3CXT74ZlgGe6_JY_1olB1XN4rF0dxEuIIF-xsYjHgg/edit?usp=sharing"",""งบกองทุน!aa74"")"),172800)</f>
        <v>172800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50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IFERROR(__xludf.DUMMYFUNCTION("IMPORTRANGE(""https://docs.google.com/spreadsheets/d/1C3CXT74ZlgGe6_JY_1olB1XN4rF0dxEuIIF-xsYjHgg/edit?usp=sharing"",""งบกองทุน!ae74"")"),10)</f>
        <v>10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IFERROR(__xludf.DUMMYFUNCTION("IMPORTRANGE(""https://docs.google.com/spreadsheets/d/1C3CXT74ZlgGe6_JY_1olB1XN4rF0dxEuIIF-xsYjHgg/edit?usp=sharing"",""งบกองทุน!ad74"")"),30)</f>
        <v>30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IFERROR(__xludf.DUMMYFUNCTION("IMPORTRANGE(""https://docs.google.com/spreadsheets/d/1C3CXT74ZlgGe6_JY_1olB1XN4rF0dxEuIIF-xsYjHgg/edit?usp=sharing"",""งบกองทุน!af74"")"),10)</f>
        <v>10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IFERROR(__xludf.DUMMYFUNCTION("IMPORTRANGE(""https://docs.google.com/spreadsheets/d/1C3CXT74ZlgGe6_JY_1olB1XN4rF0dxEuIIF-xsYjHgg/edit?usp=sharing"",""งบกองทุน!ag74"")"),10)</f>
        <v>10</v>
      </c>
      <c r="J315" s="247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IFERROR(__xludf.DUMMYFUNCTION("IMPORTRANGE(""https://docs.google.com/spreadsheets/d/1C3CXT74ZlgGe6_JY_1olB1XN4rF0dxEuIIF-xsYjHgg/edit?usp=sharing"",""งบกองทุน!ai74"")"),30)</f>
        <v>30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IFERROR(__xludf.DUMMYFUNCTION("IMPORTRANGE(""https://docs.google.com/spreadsheets/d/1C3CXT74ZlgGe6_JY_1olB1XN4rF0dxEuIIF-xsYjHgg/edit?usp=sharing"",""งบกองทุน!ah74"")"),90)</f>
        <v>90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IFERROR(__xludf.DUMMYFUNCTION("IMPORTRANGE(""https://docs.google.com/spreadsheets/d/1C3CXT74ZlgGe6_JY_1olB1XN4rF0dxEuIIF-xsYjHgg/edit?usp=sharing"",""งบกองทุน!aj74"")"),30)</f>
        <v>30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IFERROR(__xludf.DUMMYFUNCTION("IMPORTRANGE(""https://docs.google.com/spreadsheets/d/1C3CXT74ZlgGe6_JY_1olB1XN4rF0dxEuIIF-xsYjHgg/edit?usp=sharing"",""งบกองทุน!ak74"")"),30)</f>
        <v>30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IFERROR(__xludf.DUMMYFUNCTION("IMPORTRANGE(""https://docs.google.com/spreadsheets/d/1C3CXT74ZlgGe6_JY_1olB1XN4rF0dxEuIIF-xsYjHgg/edit?usp=sharing"",""งบกองทุน!al74"")"),30)</f>
        <v>30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IFERROR(__xludf.DUMMYFUNCTION("IMPORTRANGE(""https://docs.google.com/spreadsheets/d/1C3CXT74ZlgGe6_JY_1olB1XN4rF0dxEuIIF-xsYjHgg/edit?usp=sharing"",""งบกองทุน!an74"")"),10)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IFERROR(__xludf.DUMMYFUNCTION("IMPORTRANGE(""https://docs.google.com/spreadsheets/d/1C3CXT74ZlgGe6_JY_1olB1XN4rF0dxEuIIF-xsYjHgg/edit?usp=sharing"",""งบกองทุน!am74"")"),30)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IFERROR(__xludf.DUMMYFUNCTION("IMPORTRANGE(""https://docs.google.com/spreadsheets/d/1C3CXT74ZlgGe6_JY_1olB1XN4rF0dxEuIIF-xsYjHgg/edit?usp=sharing"",""งบกองทุน!ao74"")"),10)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IFERROR(__xludf.DUMMYFUNCTION("IMPORTRANGE(""https://docs.google.com/spreadsheets/d/1C3CXT74ZlgGe6_JY_1olB1XN4rF0dxEuIIF-xsYjHgg/edit?usp=sharing"",""งบกองทุน!ap74"")"),10)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40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IFERROR(__xludf.DUMMYFUNCTION("IMPORTRANGE(""https://docs.google.com/spreadsheets/d/1C3CXT74ZlgGe6_JY_1olB1XN4rF0dxEuIIF-xsYjHgg/edit?usp=sharing"",""งบกองทุน!ar74"")"),10)</f>
        <v>10</v>
      </c>
      <c r="J326" s="67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IFERROR(__xludf.DUMMYFUNCTION("IMPORTRANGE(""https://docs.google.com/spreadsheets/d/1C3CXT74ZlgGe6_JY_1olB1XN4rF0dxEuIIF-xsYjHgg/edit?usp=sharing"",""งบกองทุน!as74"")"),30)</f>
        <v>30</v>
      </c>
      <c r="J327" s="66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20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95000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95000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IFERROR(__xludf.DUMMYFUNCTION("IMPORTRANGE(""https://docs.google.com/spreadsheets/d/1C3CXT74ZlgGe6_JY_1olB1XN4rF0dxEuIIF-xsYjHgg/edit?usp=sharing"",""งบกองทุน!au74"")"),0)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IFERROR(__xludf.DUMMYFUNCTION("IMPORTRANGE(""https://docs.google.com/spreadsheets/d/1C3CXT74ZlgGe6_JY_1olB1XN4rF0dxEuIIF-xsYjHgg/edit?usp=sharing"",""งบกองทุน!av74"")"),95000)</f>
        <v>95000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20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IFERROR(__xludf.DUMMYFUNCTION("IMPORTRANGE(""https://docs.google.com/spreadsheets/d/1C3CXT74ZlgGe6_JY_1olB1XN4rF0dxEuIIF-xsYjHgg/edit?usp=sharing"",""งบกองทุน!ay74"")"),20)</f>
        <v>20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IFERROR(__xludf.DUMMYFUNCTION("IMPORTRANGE(""https://docs.google.com/spreadsheets/d/1C3CXT74ZlgGe6_JY_1olB1XN4rF0dxEuIIF-xsYjHgg/edit?usp=sharing"",""งบกองทุน!az74"")"),0)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IFERROR(__xludf.DUMMYFUNCTION("IMPORTRANGE(""https://docs.google.com/spreadsheets/d/1C3CXT74ZlgGe6_JY_1olB1XN4rF0dxEuIIF-xsYjHgg/edit?usp=sharing"",""งบกองทุน!Ba74"")"),0)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106282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794001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794001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IFERROR(__xludf.DUMMYFUNCTION("IMPORTRANGE(""https://docs.google.com/spreadsheets/d/1C3CXT74ZlgGe6_JY_1olB1XN4rF0dxEuIIF-xsYjHgg/edit?usp=sharing"",""งบกองทุน!Bc74"")"),0)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IFERROR(__xludf.DUMMYFUNCTION("IMPORTRANGE(""https://docs.google.com/spreadsheets/d/1C3CXT74ZlgGe6_JY_1olB1XN4rF0dxEuIIF-xsYjHgg/edit?usp=sharing"",""งบกองทุน!Bd74"")"),794001)</f>
        <v>794001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IFERROR(__xludf.DUMMYFUNCTION("IMPORTRANGE(""https://docs.google.com/spreadsheets/d/1C3CXT74ZlgGe6_JY_1olB1XN4rF0dxEuIIF-xsYjHgg/edit?usp=sharing"",""งบกองทุน!BE74"")"),106282)</f>
        <v>106282</v>
      </c>
      <c r="J359" s="136">
        <f>+J376</f>
        <v>0</v>
      </c>
      <c r="K359" s="137">
        <f t="shared" ref="K359:K425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IFERROR(__xludf.DUMMYFUNCTION("IMPORTRANGE(""https://docs.google.com/spreadsheets/d/1C3CXT74ZlgGe6_JY_1olB1XN4rF0dxEuIIF-xsYjHgg/edit?usp=sharing"",""งบกองทุน!BE74"")"),106282)</f>
        <v>106282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IFERROR(__xludf.DUMMYFUNCTION("IMPORTRANGE(""https://docs.google.com/spreadsheets/d/1C3CXT74ZlgGe6_JY_1olB1XN4rF0dxEuIIF-xsYjHgg/edit?usp=sharing"",""งบกองทุน!Bf74"")"),6394)</f>
        <v>6394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106282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265">
        <f ca="1">I361</f>
        <v>6394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106282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265">
        <f ca="1">I361</f>
        <v>6394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IFERROR(__xludf.DUMMYFUNCTION("IMPORTRANGE(""https://docs.google.com/spreadsheets/d/1C3CXT74ZlgGe6_JY_1olB1XN4rF0dxEuIIF-xsYjHgg/edit?usp=sharing"",""งบกองทุน!cd74"")"),5605)</f>
        <v>5605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IFERROR(__xludf.DUMMYFUNCTION("IMPORTRANGE(""https://docs.google.com/spreadsheets/d/1C3CXT74ZlgGe6_JY_1olB1XN4rF0dxEuIIF-xsYjHgg/edit?usp=sharing"",""งบกองทุน!cd74"")"),5605)</f>
        <v>5605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IFERROR(__xludf.DUMMYFUNCTION("IMPORTRANGE(""https://docs.google.com/spreadsheets/d/1C3CXT74ZlgGe6_JY_1olB1XN4rF0dxEuIIF-xsYjHgg/edit?usp=sharing"",""งบกองทุน!cc74"")"),328)</f>
        <v>328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IFERROR(__xludf.DUMMYFUNCTION("IMPORTRANGE(""https://docs.google.com/spreadsheets/d/1C3CXT74ZlgGe6_JY_1olB1XN4rF0dxEuIIF-xsYjHgg/edit?usp=sharing"",""งบกองทุน!cz72"")"),0)</f>
        <v>0</v>
      </c>
      <c r="J409" s="136">
        <v>0</v>
      </c>
      <c r="K409" s="137">
        <f t="shared" ca="1" si="82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IFERROR(__xludf.DUMMYFUNCTION("IMPORTRANGE(""https://docs.google.com/spreadsheets/d/1C3CXT74ZlgGe6_JY_1olB1XN4rF0dxEuIIF-xsYjHgg/edit?usp=sharing"",""งบกองทุน!cz72"")"),0)</f>
        <v>0</v>
      </c>
      <c r="J410" s="149">
        <v>0</v>
      </c>
      <c r="K410" s="146">
        <f t="shared" ca="1" si="82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IFERROR(__xludf.DUMMYFUNCTION("IMPORTRANGE(""https://docs.google.com/spreadsheets/d/1C3CXT74ZlgGe6_JY_1olB1XN4rF0dxEuIIF-xsYjHgg/edit?usp=sharing"",""งบกองทุน!cy72"")"),0)</f>
        <v>0</v>
      </c>
      <c r="J411" s="149">
        <v>0</v>
      </c>
      <c r="K411" s="146">
        <f t="shared" ca="1" si="82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IFERROR(__xludf.DUMMYFUNCTION("IMPORTRANGE(""https://docs.google.com/spreadsheets/d/1C3CXT74ZlgGe6_JY_1olB1XN4rF0dxEuIIF-xsYjHgg/edit?usp=sharing"",""งบกองทุน!db72"")"),0)</f>
        <v>0</v>
      </c>
      <c r="K412" s="48">
        <f t="shared" si="82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IFERROR(__xludf.DUMMYFUNCTION("IMPORTRANGE(""https://docs.google.com/spreadsheets/d/1C3CXT74ZlgGe6_JY_1olB1XN4rF0dxEuIIF-xsYjHgg/edit?usp=sharing"",""งบกองทุน!da72"")"),0)</f>
        <v>0</v>
      </c>
      <c r="K413" s="48">
        <f t="shared" si="82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IFERROR(__xludf.DUMMYFUNCTION("IMPORTRANGE(""https://docs.google.com/spreadsheets/d/1C3CXT74ZlgGe6_JY_1olB1XN4rF0dxEuIIF-xsYjHgg/edit?usp=sharing"",""งบกองทุน!dd72"")"),0)</f>
        <v>0</v>
      </c>
      <c r="K414" s="48">
        <f t="shared" si="82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IFERROR(__xludf.DUMMYFUNCTION("IMPORTRANGE(""https://docs.google.com/spreadsheets/d/1C3CXT74ZlgGe6_JY_1olB1XN4rF0dxEuIIF-xsYjHgg/edit?usp=sharing"",""งบกองทุน!dc72"")"),0)</f>
        <v>0</v>
      </c>
      <c r="K415" s="48">
        <f t="shared" si="82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IFERROR(__xludf.DUMMYFUNCTION("IMPORTRANGE(""https://docs.google.com/spreadsheets/d/1C3CXT74ZlgGe6_JY_1olB1XN4rF0dxEuIIF-xsYjHgg/edit?usp=sharing"",""งบกองทุน!df72"")"),0)</f>
        <v>0</v>
      </c>
      <c r="K416" s="48">
        <f t="shared" si="82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IFERROR(__xludf.DUMMYFUNCTION("IMPORTRANGE(""https://docs.google.com/spreadsheets/d/1C3CXT74ZlgGe6_JY_1olB1XN4rF0dxEuIIF-xsYjHgg/edit?usp=sharing"",""งบกองทุน!de72"")"),0)</f>
        <v>0</v>
      </c>
      <c r="K417" s="48">
        <f t="shared" si="82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f t="shared" ca="1" si="82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f t="shared" ca="1" si="82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f t="shared" si="82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f t="shared" si="82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f t="shared" si="82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f t="shared" si="82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f t="shared" si="82"/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4">
        <v>0</v>
      </c>
      <c r="J425" s="300">
        <v>0</v>
      </c>
      <c r="K425" s="301">
        <f t="shared" si="82"/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22</v>
      </c>
      <c r="J426" s="257">
        <f t="shared" si="91"/>
        <v>0</v>
      </c>
      <c r="K426" s="258">
        <f ca="1">IF(I426&gt;0,J426*100/I426,0)</f>
        <v>0</v>
      </c>
      <c r="L426" s="259">
        <f t="shared" ref="L426:M426" ca="1" si="92">SUM(L427:L428)</f>
        <v>34340</v>
      </c>
      <c r="M426" s="259">
        <f t="shared" si="92"/>
        <v>0</v>
      </c>
      <c r="N426" s="259">
        <f t="shared" ref="N426:N430" ca="1" si="93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34340</v>
      </c>
      <c r="M428" s="52">
        <f t="shared" si="94"/>
        <v>0</v>
      </c>
      <c r="N428" s="52">
        <f t="shared" ca="1" si="93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IFERROR(__xludf.DUMMYFUNCTION("IMPORTRANGE(""https://docs.google.com/spreadsheets/d/1C3CXT74ZlgGe6_JY_1olB1XN4rF0dxEuIIF-xsYjHgg/edit?usp=sharing"",""งบกองทุน!dn74"")"),0)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IFERROR(__xludf.DUMMYFUNCTION("IMPORTRANGE(""https://docs.google.com/spreadsheets/d/1C3CXT74ZlgGe6_JY_1olB1XN4rF0dxEuIIF-xsYjHgg/edit?usp=sharing"",""งบกองทุน!do74"")"),34340)</f>
        <v>34340</v>
      </c>
      <c r="M430" s="52">
        <f>SUM(M431:M434)</f>
        <v>0</v>
      </c>
      <c r="N430" s="52">
        <f t="shared" ca="1" si="93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0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IFERROR(__xludf.DUMMYFUNCTION("IMPORTRANGE(""https://docs.google.com/spreadsheets/d/1C3CXT74ZlgGe6_JY_1olB1XN4rF0dxEuIIF-xsYjHgg/edit?usp=sharing"",""งบกองทุน!dq74"")"),22)</f>
        <v>22</v>
      </c>
      <c r="J440" s="67">
        <v>0</v>
      </c>
      <c r="K440" s="48">
        <f t="shared" ref="K440:K441" ca="1" si="95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IFERROR(__xludf.DUMMYFUNCTION("IMPORTRANGE(""https://docs.google.com/spreadsheets/d/1C3CXT74ZlgGe6_JY_1olB1XN4rF0dxEuIIF-xsYjHgg/edit?usp=sharing"",""งบกองทุน!dr74"")"),22)</f>
        <v>22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IFERROR(__xludf.DUMMYFUNCTION("IMPORTRANGE(""https://docs.google.com/spreadsheets/d/1C3CXT74ZlgGe6_JY_1olB1XN4rF0dxEuIIF-xsYjHgg/edit?usp=sharing"",""งบกองทุน!dt74"")"),0)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66"/>
      <c r="K448" s="232"/>
      <c r="L448" s="52">
        <f ca="1">IFERROR(__xludf.DUMMYFUNCTION("IMPORTRANGE(""https://docs.google.com/spreadsheets/d/1C3CXT74ZlgGe6_JY_1olB1XN4rF0dxEuIIF-xsYjHgg/edit?usp=sharing"",""งบกองทุน!du74"")"),0)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IFERROR(__xludf.DUMMYFUNCTION("IMPORTRANGE(""https://docs.google.com/spreadsheets/d/1C3CXT74ZlgGe6_JY_1olB1XN4rF0dxEuIIF-xsYjHgg/edit?usp=sharing"",""งบกองทุน!dw74"")"),0)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IFERROR(__xludf.DUMMYFUNCTION("IMPORTRANGE(""https://docs.google.com/spreadsheets/d/1C3CXT74ZlgGe6_JY_1olB1XN4rF0dxEuIIF-xsYjHgg/edit?usp=sharing"",""งบกองทุน!dx74"")"),0)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IFERROR(__xludf.DUMMYFUNCTION("IMPORTRANGE(""https://docs.google.com/spreadsheets/d/1C3CXT74ZlgGe6_JY_1olB1XN4rF0dxEuIIF-xsYjHgg/edit?usp=sharing"",""งบกองทุน!dy74"")"),0)</f>
        <v>0</v>
      </c>
      <c r="J455" s="66">
        <v>0</v>
      </c>
      <c r="K455" s="48">
        <f t="shared" ca="1" si="100"/>
        <v>0</v>
      </c>
      <c r="L455" s="60"/>
      <c r="M455" s="60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IFERROR(__xludf.DUMMYFUNCTION("IMPORTRANGE(""https://docs.google.com/spreadsheets/d/1C3CXT74ZlgGe6_JY_1olB1XN4rF0dxEuIIF-xsYjHgg/edit?usp=sharing"",""งบกองทุน!dz74"")"),0)</f>
        <v>0</v>
      </c>
      <c r="J456" s="66">
        <v>0</v>
      </c>
      <c r="K456" s="48">
        <f t="shared" ca="1" si="100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1350</v>
      </c>
      <c r="J457" s="226">
        <f>+J466</f>
        <v>0</v>
      </c>
      <c r="K457" s="227">
        <f t="shared" ca="1" si="100"/>
        <v>0</v>
      </c>
      <c r="L457" s="228">
        <f t="shared" ref="L457:M457" ca="1" si="101">SUM(L458:L459)</f>
        <v>127680</v>
      </c>
      <c r="M457" s="228">
        <f t="shared" si="101"/>
        <v>0</v>
      </c>
      <c r="N457" s="228">
        <f t="shared" ref="N457:N461" ca="1" si="102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127680</v>
      </c>
      <c r="M459" s="52">
        <f t="shared" si="103"/>
        <v>0</v>
      </c>
      <c r="N459" s="52">
        <f t="shared" ca="1" si="102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IFERROR(__xludf.DUMMYFUNCTION("IMPORTRANGE(""https://docs.google.com/spreadsheets/d/1C3CXT74ZlgGe6_JY_1olB1XN4rF0dxEuIIF-xsYjHgg/edit?usp=sharing"",""งบกองทุน!Eb74"")"),0)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IFERROR(__xludf.DUMMYFUNCTION("IMPORTRANGE(""https://docs.google.com/spreadsheets/d/1C3CXT74ZlgGe6_JY_1olB1XN4rF0dxEuIIF-xsYjHgg/edit?usp=sharing"",""งบกองทุน!Ec74"")"),127680)</f>
        <v>127680</v>
      </c>
      <c r="M461" s="52">
        <f>SUM(M462:M465)</f>
        <v>0</v>
      </c>
      <c r="N461" s="52">
        <f t="shared" ca="1" si="102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IFERROR(__xludf.DUMMYFUNCTION("IMPORTRANGE(""https://docs.google.com/spreadsheets/d/1C3CXT74ZlgGe6_JY_1olB1XN4rF0dxEuIIF-xsYjHgg/edit?usp=sharing"",""งบกองทุน!Ed74"")"),1350)</f>
        <v>1350</v>
      </c>
      <c r="J466" s="265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0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1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0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IFERROR(__xludf.DUMMYFUNCTION("IMPORTRANGE(""https://docs.google.com/spreadsheets/d/1C3CXT74ZlgGe6_JY_1olB1XN4rF0dxEuIIF-xsYjHgg/edit?usp=sharing"",""งบกองทุน!Ek74"")"),0)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IFERROR(__xludf.DUMMYFUNCTION("IMPORTRANGE(""https://docs.google.com/spreadsheets/d/1C3CXT74ZlgGe6_JY_1olB1XN4rF0dxEuIIF-xsYjHgg/edit?usp=sharing"",""งบกองทุน!El74"")"),0)</f>
        <v>0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IFERROR(__xludf.DUMMYFUNCTION("IMPORTRANGE(""https://docs.google.com/spreadsheets/d/1C3CXT74ZlgGe6_JY_1olB1XN4rF0dxEuIIF-xsYjHgg/edit?usp=sharing"",""งบกองทุน!Em74"")"),0)</f>
        <v>0</v>
      </c>
      <c r="J482" s="66">
        <f ca="1">IFERROR(__xludf.DUMMYFUNCTION("IMPORTRANGE(""https://docs.google.com/spreadsheets/d/1AGHcLOeeYFL3K4b9R1dSzyJy00PE_ra89DNTVfnxSWM/edit?usp=sharing"",""รวมที่ชุมชน!G63"")"),0)</f>
        <v>0</v>
      </c>
      <c r="K482" s="48">
        <f t="shared" ref="K482:K489" ca="1" si="107">IF(I482&gt;0,J482*100/I482,0)</f>
        <v>0</v>
      </c>
      <c r="L482" s="60"/>
      <c r="M482" s="52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IFERROR(__xludf.DUMMYFUNCTION("IMPORTRANGE(""https://docs.google.com/spreadsheets/d/1C3CXT74ZlgGe6_JY_1olB1XN4rF0dxEuIIF-xsYjHgg/edit?usp=sharing"",""งบกองทุน!En74"")"),0)</f>
        <v>0</v>
      </c>
      <c r="J483" s="66">
        <f ca="1">IFERROR(__xludf.DUMMYFUNCTION("IMPORTRANGE(""https://docs.google.com/spreadsheets/d/1AGHcLOeeYFL3K4b9R1dSzyJy00PE_ra89DNTVfnxSWM/edit?usp=sharing"",""รวมที่ชุมชน!H63"")"),0)</f>
        <v>0</v>
      </c>
      <c r="K483" s="200">
        <f t="shared" ca="1" si="107"/>
        <v>0</v>
      </c>
      <c r="L483" s="60"/>
      <c r="M483" s="52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IFERROR(__xludf.DUMMYFUNCTION("IMPORTRANGE(""https://docs.google.com/spreadsheets/d/1C3CXT74ZlgGe6_JY_1olB1XN4rF0dxEuIIF-xsYjHgg/edit?usp=sharing"",""งบกองทุน!Eo74"")"),0)</f>
        <v>0</v>
      </c>
      <c r="J484" s="66">
        <f ca="1">IFERROR(__xludf.DUMMYFUNCTION("IMPORTRANGE(""https://docs.google.com/spreadsheets/d/1AGHcLOeeYFL3K4b9R1dSzyJy00PE_ra89DNTVfnxSWM/edit?usp=sharing"",""รวมที่ชุมชน!J63"")"),1)</f>
        <v>1</v>
      </c>
      <c r="K484" s="48">
        <f t="shared" ca="1" si="107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IFERROR(__xludf.DUMMYFUNCTION("IMPORTRANGE(""https://docs.google.com/spreadsheets/d/1C3CXT74ZlgGe6_JY_1olB1XN4rF0dxEuIIF-xsYjHgg/edit?usp=sharing"",""งบกองทุน!Ep74"")"),0)</f>
        <v>0</v>
      </c>
      <c r="J485" s="66">
        <f ca="1">IFERROR(__xludf.DUMMYFUNCTION("IMPORTRANGE(""https://docs.google.com/spreadsheets/d/1AGHcLOeeYFL3K4b9R1dSzyJy00PE_ra89DNTVfnxSWM/edit?usp=sharing"",""รวมที่ชุมชน!L63"")"),0.56)</f>
        <v>0.56000000000000005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IFERROR(__xludf.DUMMYFUNCTION("IMPORTRANGE(""https://docs.google.com/spreadsheets/d/1C3CXT74ZlgGe6_JY_1olB1XN4rF0dxEuIIF-xsYjHgg/edit?usp=sharing"",""งบกองทุน!Eq74"")"),0)</f>
        <v>0</v>
      </c>
      <c r="J486" s="66">
        <f ca="1">IFERROR(__xludf.DUMMYFUNCTION("IMPORTRANGE(""https://docs.google.com/spreadsheets/d/1AGHcLOeeYFL3K4b9R1dSzyJy00PE_ra89DNTVfnxSWM/edit?usp=sharing"",""รวมที่ชุมชน!S63"")"),0)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IFERROR(__xludf.DUMMYFUNCTION("IMPORTRANGE(""https://docs.google.com/spreadsheets/d/1C3CXT74ZlgGe6_JY_1olB1XN4rF0dxEuIIF-xsYjHgg/edit?usp=sharing"",""งบกองทุน!Er74"")"),0)</f>
        <v>0</v>
      </c>
      <c r="J487" s="66">
        <f ca="1">IFERROR(__xludf.DUMMYFUNCTION("IMPORTRANGE(""https://docs.google.com/spreadsheets/d/1AGHcLOeeYFL3K4b9R1dSzyJy00PE_ra89DNTVfnxSWM/edit?usp=sharing"",""รวมที่ชุมชน!U63"")"),0)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IFERROR(__xludf.DUMMYFUNCTION("IMPORTRANGE(""https://docs.google.com/spreadsheets/d/1C3CXT74ZlgGe6_JY_1olB1XN4rF0dxEuIIF-xsYjHgg/edit?usp=sharing"",""งบกองทุน!Es74"")"),0)</f>
        <v>0</v>
      </c>
      <c r="J488" s="66">
        <f ca="1">IFERROR(__xludf.DUMMYFUNCTION("IMPORTRANGE(""https://docs.google.com/spreadsheets/d/1AGHcLOeeYFL3K4b9R1dSzyJy00PE_ra89DNTVfnxSWM/edit?usp=sharing"",""รวมที่ชุมชน!V63"")"),1)</f>
        <v>1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IFERROR(__xludf.DUMMYFUNCTION("IMPORTRANGE(""https://docs.google.com/spreadsheets/d/1C3CXT74ZlgGe6_JY_1olB1XN4rF0dxEuIIF-xsYjHgg/edit?usp=sharing"",""งบกองทุน!Et74"")"),0)</f>
        <v>0</v>
      </c>
      <c r="J489" s="111">
        <f ca="1">IFERROR(__xludf.DUMMYFUNCTION("IMPORTRANGE(""https://docs.google.com/spreadsheets/d/1AGHcLOeeYFL3K4b9R1dSzyJy00PE_ra89DNTVfnxSWM/edit?usp=sharing"",""รวมที่ชุมชน!X63"")"),0.56)</f>
        <v>0.56000000000000005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100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8900</v>
      </c>
      <c r="M490" s="259">
        <f>SUM(M491:M492)</f>
        <v>0</v>
      </c>
      <c r="N490" s="259">
        <f t="shared" ref="N490:N494" ca="1" si="109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8900</v>
      </c>
      <c r="M492" s="52">
        <f t="shared" si="110"/>
        <v>0</v>
      </c>
      <c r="N492" s="52">
        <f t="shared" ca="1" si="109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IFERROR(__xludf.DUMMYFUNCTION("IMPORTRANGE(""https://docs.google.com/spreadsheets/d/1C3CXT74ZlgGe6_JY_1olB1XN4rF0dxEuIIF-xsYjHgg/edit?usp=sharing"",""งบกองทุน!Ev74"")"),0)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IFERROR(__xludf.DUMMYFUNCTION("IMPORTRANGE(""https://docs.google.com/spreadsheets/d/1C3CXT74ZlgGe6_JY_1olB1XN4rF0dxEuIIF-xsYjHgg/edit?usp=sharing"",""งบกองทุน!Ew74"")"),8900)</f>
        <v>8900</v>
      </c>
      <c r="M494" s="52">
        <f>SUM(M495:M498)</f>
        <v>0</v>
      </c>
      <c r="N494" s="52">
        <f t="shared" ca="1" si="109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IFERROR(__xludf.DUMMYFUNCTION("IMPORTRANGE(""https://docs.google.com/spreadsheets/d/1C3CXT74ZlgGe6_JY_1olB1XN4rF0dxEuIIF-xsYjHgg/edit?usp=sharing"",""งบกองทุน!EZ74"")"),100)</f>
        <v>100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IFERROR(__xludf.DUMMYFUNCTION("IMPORTRANGE(""https://docs.google.com/spreadsheets/d/1C3CXT74ZlgGe6_JY_1olB1XN4rF0dxEuIIF-xsYjHgg/edit?usp=sharing"",""งบกองทุน!ff74"")"),760)</f>
        <v>760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IFERROR(__xludf.DUMMYFUNCTION("IMPORTRANGE(""https://docs.google.com/spreadsheets/d/1muirlRDkqiswvy_NRZ3Yh955hx-PF6_HhssUYiSJj8o/edit?usp=sharing"",""กองทุน!D74"")"),10939989.04)</f>
        <v>10939989.039999999</v>
      </c>
      <c r="J521" s="199">
        <f ca="1">IFERROR(__xludf.DUMMYFUNCTION("IMPORTRANGE(""https://docs.google.com/spreadsheets/d/1muirlRDkqiswvy_NRZ3Yh955hx-PF6_HhssUYiSJj8o/edit?usp=sharing"",""กองทุน!F74"")"),0)</f>
        <v>0</v>
      </c>
      <c r="K521" s="200">
        <f t="shared" ref="K521:K528" ca="1" si="116">IF(I521&gt;0,J521*100/I521,0)</f>
        <v>0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IFERROR(__xludf.DUMMYFUNCTION("IMPORTRANGE(""https://docs.google.com/spreadsheets/d/1muirlRDkqiswvy_NRZ3Yh955hx-PF6_HhssUYiSJj8o/edit?usp=sharing"",""กองทุน!C74"")"),387)</f>
        <v>387</v>
      </c>
      <c r="J522" s="199">
        <f ca="1">IFERROR(__xludf.DUMMYFUNCTION("IMPORTRANGE(""https://docs.google.com/spreadsheets/d/1muirlRDkqiswvy_NRZ3Yh955hx-PF6_HhssUYiSJj8o/edit?usp=sharing"",""กองทุน!E74"")"),0)</f>
        <v>0</v>
      </c>
      <c r="K522" s="200">
        <f t="shared" ca="1" si="116"/>
        <v>0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IFERROR(__xludf.DUMMYFUNCTION("IMPORTRANGE(""https://docs.google.com/spreadsheets/d/1muirlRDkqiswvy_NRZ3Yh955hx-PF6_HhssUYiSJj8o/edit?usp=sharing"",""กองทุน!I74"")"),6595546.00999999)</f>
        <v>6595546.0099999905</v>
      </c>
      <c r="J523" s="199">
        <f ca="1">IFERROR(__xludf.DUMMYFUNCTION("IMPORTRANGE(""https://docs.google.com/spreadsheets/d/1muirlRDkqiswvy_NRZ3Yh955hx-PF6_HhssUYiSJj8o/edit?usp=sharing"",""กองทุน!K74"")"),5092.84)</f>
        <v>5092.84</v>
      </c>
      <c r="K523" s="200">
        <f t="shared" ca="1" si="116"/>
        <v>7.721635164516133E-2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IFERROR(__xludf.DUMMYFUNCTION("IMPORTRANGE(""https://docs.google.com/spreadsheets/d/1muirlRDkqiswvy_NRZ3Yh955hx-PF6_HhssUYiSJj8o/edit?usp=sharing"",""กองทุน!H74"")"),307)</f>
        <v>307</v>
      </c>
      <c r="J524" s="199">
        <f ca="1">IFERROR(__xludf.DUMMYFUNCTION("IMPORTRANGE(""https://docs.google.com/spreadsheets/d/1muirlRDkqiswvy_NRZ3Yh955hx-PF6_HhssUYiSJj8o/edit?usp=sharing"",""กองทุน!J74"")"),6)</f>
        <v>6</v>
      </c>
      <c r="K524" s="200">
        <f t="shared" ca="1" si="116"/>
        <v>1.9543973941368078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IFERROR(__xludf.DUMMYFUNCTION("IMPORTRANGE(""https://docs.google.com/spreadsheets/d/1muirlRDkqiswvy_NRZ3Yh955hx-PF6_HhssUYiSJj8o/edit?usp=sharing"",""กองทุน!N74"")"),5091523.71)</f>
        <v>5091523.71</v>
      </c>
      <c r="J525" s="199">
        <f ca="1">IFERROR(__xludf.DUMMYFUNCTION("IMPORTRANGE(""https://docs.google.com/spreadsheets/d/1muirlRDkqiswvy_NRZ3Yh955hx-PF6_HhssUYiSJj8o/edit?usp=sharing"",""กองทุน!P74"")"),204584.27)</f>
        <v>204584.27</v>
      </c>
      <c r="K525" s="200">
        <f t="shared" ca="1" si="116"/>
        <v>4.0181344849320162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IFERROR(__xludf.DUMMYFUNCTION("IMPORTRANGE(""https://docs.google.com/spreadsheets/d/1muirlRDkqiswvy_NRZ3Yh955hx-PF6_HhssUYiSJj8o/edit?usp=sharing"",""กองทุน!M74"")"),239)</f>
        <v>239</v>
      </c>
      <c r="J526" s="199">
        <f ca="1">IFERROR(__xludf.DUMMYFUNCTION("IMPORTRANGE(""https://docs.google.com/spreadsheets/d/1muirlRDkqiswvy_NRZ3Yh955hx-PF6_HhssUYiSJj8o/edit?usp=sharing"",""กองทุน!O74"")"),34)</f>
        <v>34</v>
      </c>
      <c r="K526" s="200">
        <f t="shared" ca="1" si="116"/>
        <v>14.225941422594142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IFERROR(__xludf.DUMMYFUNCTION("IMPORTRANGE(""https://docs.google.com/spreadsheets/d/1muirlRDkqiswvy_NRZ3Yh955hx-PF6_HhssUYiSJj8o/edit?usp=sharing"",""กองทุน!S74"")"),10000000)</f>
        <v>10000000</v>
      </c>
      <c r="J527" s="199">
        <f ca="1">IFERROR(__xludf.DUMMYFUNCTION("IMPORTRANGE(""https://docs.google.com/spreadsheets/d/1muirlRDkqiswvy_NRZ3Yh955hx-PF6_HhssUYiSJj8o/edit?usp=sharing"",""กองทุน!U74"")"),0)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IFERROR(__xludf.DUMMYFUNCTION("IMPORTRANGE(""https://docs.google.com/spreadsheets/d/1muirlRDkqiswvy_NRZ3Yh955hx-PF6_HhssUYiSJj8o/edit?usp=sharing"",""กองทุน!R74"")"),333)</f>
        <v>333</v>
      </c>
      <c r="J528" s="324">
        <f ca="1">IFERROR(__xludf.DUMMYFUNCTION("IMPORTRANGE(""https://docs.google.com/spreadsheets/d/1muirlRDkqiswvy_NRZ3Yh955hx-PF6_HhssUYiSJj8o/edit?usp=sharing"",""กองทุน!T74"")"),0)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A5" sqref="A5:G5"/>
      <selection pane="bottomLeft" activeCell="A5" sqref="A5:G5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68" t="s">
        <v>0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</row>
    <row r="2" spans="1:14" ht="18" customHeight="1" x14ac:dyDescent="0.55000000000000004">
      <c r="A2" s="368" t="s">
        <v>240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</row>
    <row r="3" spans="1:14" ht="18" customHeight="1" x14ac:dyDescent="0.55000000000000004">
      <c r="A3" s="368" t="s">
        <v>247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70" t="s">
        <v>4</v>
      </c>
      <c r="B5" s="371"/>
      <c r="C5" s="371"/>
      <c r="D5" s="371"/>
      <c r="E5" s="371"/>
      <c r="F5" s="371"/>
      <c r="G5" s="372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3202375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779500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70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IFERROR(__xludf.DUMMYFUNCTION("IMPORTRANGE(""https://docs.google.com/spreadsheets/d/1C3CXT74ZlgGe6_JY_1olB1XN4rF0dxEuIIF-xsYjHgg/edit?usp=sharing"",""พรบ!C75"")"),779500)</f>
        <v>779500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47"/>
      <c r="K13" s="48"/>
      <c r="L13" s="52">
        <f ca="1">IFERROR(__xludf.DUMMYFUNCTION("IMPORTRANGE(""https://docs.google.com/spreadsheets/d/1C3CXT74ZlgGe6_JY_1olB1XN4rF0dxEuIIF-xsYjHgg/edit?usp=sharing"",""พรบ!D75"")"),179500)</f>
        <v>179500</v>
      </c>
      <c r="M13" s="53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47"/>
      <c r="K14" s="48"/>
      <c r="L14" s="52">
        <f ca="1">IFERROR(__xludf.DUMMYFUNCTION("IMPORTRANGE(""https://docs.google.com/spreadsheets/d/1C3CXT74ZlgGe6_JY_1olB1XN4rF0dxEuIIF-xsYjHgg/edit?usp=sharing"",""พรบ!E75"")"),600000)</f>
        <v>600000</v>
      </c>
      <c r="M14" s="53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v>0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v>0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7">
        <v>0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7">
        <v>0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1</v>
      </c>
      <c r="J20" s="78">
        <f t="shared" si="5"/>
        <v>0</v>
      </c>
      <c r="K20" s="79">
        <f t="shared" ref="K20:K28" ca="1" si="6">IF(I20&gt;0,J20*100/I20,0)</f>
        <v>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70</v>
      </c>
      <c r="J21" s="78">
        <f t="shared" si="7"/>
        <v>0</v>
      </c>
      <c r="K21" s="79">
        <f t="shared" ca="1" si="6"/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IFERROR(__xludf.DUMMYFUNCTION("IMPORTRANGE(""https://docs.google.com/spreadsheets/d/1C3CXT74ZlgGe6_JY_1olB1XN4rF0dxEuIIF-xsYjHgg/edit?usp=sharing"",""พรบ!H75"")"),1)</f>
        <v>1</v>
      </c>
      <c r="J22" s="67">
        <v>0</v>
      </c>
      <c r="K22" s="48">
        <f t="shared" ca="1" si="6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IFERROR(__xludf.DUMMYFUNCTION("IMPORTRANGE(""https://docs.google.com/spreadsheets/d/1C3CXT74ZlgGe6_JY_1olB1XN4rF0dxEuIIF-xsYjHgg/edit?usp=sharing"",""พรบ!I75"")"),70)</f>
        <v>70</v>
      </c>
      <c r="J23" s="67">
        <v>0</v>
      </c>
      <c r="K23" s="48">
        <f t="shared" ca="1" si="6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IFERROR(__xludf.DUMMYFUNCTION("IMPORTRANGE(""https://docs.google.com/spreadsheets/d/1C3CXT74ZlgGe6_JY_1olB1XN4rF0dxEuIIF-xsYjHgg/edit?usp=sharing"",""พรบ!J75"")"),0)</f>
        <v>0</v>
      </c>
      <c r="J24" s="66">
        <v>0</v>
      </c>
      <c r="K24" s="48">
        <f t="shared" ca="1" si="6"/>
        <v>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IFERROR(__xludf.DUMMYFUNCTION("IMPORTRANGE(""https://docs.google.com/spreadsheets/d/1C3CXT74ZlgGe6_JY_1olB1XN4rF0dxEuIIF-xsYjHgg/edit?usp=sharing"",""พรบ!K75"")"),0)</f>
        <v>0</v>
      </c>
      <c r="J25" s="66">
        <v>0</v>
      </c>
      <c r="K25" s="48">
        <f t="shared" ca="1" si="6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IFERROR(__xludf.DUMMYFUNCTION("IMPORTRANGE(""https://docs.google.com/spreadsheets/d/1C3CXT74ZlgGe6_JY_1olB1XN4rF0dxEuIIF-xsYjHgg/edit?usp=sharing"",""พรบ!L75"")"),0)</f>
        <v>0</v>
      </c>
      <c r="J26" s="66">
        <v>0</v>
      </c>
      <c r="K26" s="48">
        <f t="shared" ca="1" si="6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IFERROR(__xludf.DUMMYFUNCTION("IMPORTRANGE(""https://docs.google.com/spreadsheets/d/1C3CXT74ZlgGe6_JY_1olB1XN4rF0dxEuIIF-xsYjHgg/edit?usp=sharing"",""พรบ!M75"")"),0)</f>
        <v>0</v>
      </c>
      <c r="J27" s="66">
        <v>0</v>
      </c>
      <c r="K27" s="48">
        <f t="shared" ca="1" si="6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v>0</v>
      </c>
      <c r="J28" s="67">
        <v>0</v>
      </c>
      <c r="K28" s="48">
        <f t="shared" si="6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7"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IFERROR(__xludf.DUMMYFUNCTION("IMPORTRANGE(""https://docs.google.com/spreadsheets/d/1C3CXT74ZlgGe6_JY_1olB1XN4rF0dxEuIIF-xsYjHgg/edit?usp=sharing"",""พรบ!O75"")"),0)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IFERROR(__xludf.DUMMYFUNCTION("IMPORTRANGE(""https://docs.google.com/spreadsheets/d/1C3CXT74ZlgGe6_JY_1olB1XN4rF0dxEuIIF-xsYjHgg/edit?usp=sharing"",""พรบ!P75"")"),0)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IFERROR(__xludf.DUMMYFUNCTION("IMPORTRANGE(""https://docs.google.com/spreadsheets/d/1C3CXT74ZlgGe6_JY_1olB1XN4rF0dxEuIIF-xsYjHgg/edit?usp=sharing"",""พรบ!Q75"")"),0)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IFERROR(__xludf.DUMMYFUNCTION("IMPORTRANGE(""https://docs.google.com/spreadsheets/d/1C3CXT74ZlgGe6_JY_1olB1XN4rF0dxEuIIF-xsYjHgg/edit?usp=sharing"",""พรบ!R75"")"),0)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IFERROR(__xludf.DUMMYFUNCTION("IMPORTRANGE(""https://docs.google.com/spreadsheets/d/1C3CXT74ZlgGe6_JY_1olB1XN4rF0dxEuIIF-xsYjHgg/edit?usp=sharing"",""พรบ!S75"")"),0)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IFERROR(__xludf.DUMMYFUNCTION("IMPORTRANGE(""https://docs.google.com/spreadsheets/d/1C3CXT74ZlgGe6_JY_1olB1XN4rF0dxEuIIF-xsYjHgg/edit?usp=sharing"",""พรบ!T75"")"),0)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IFERROR(__xludf.DUMMYFUNCTION("IMPORTRANGE(""https://docs.google.com/spreadsheets/d/1C3CXT74ZlgGe6_JY_1olB1XN4rF0dxEuIIF-xsYjHgg/edit?usp=sharing"",""พรบ!U75"")"),0)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IFERROR(__xludf.DUMMYFUNCTION("IMPORTRANGE(""https://docs.google.com/spreadsheets/d/1C3CXT74ZlgGe6_JY_1olB1XN4rF0dxEuIIF-xsYjHgg/edit?usp=sharing"",""พรบ!V75"")"),0)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IFERROR(__xludf.DUMMYFUNCTION("IMPORTRANGE(""https://docs.google.com/spreadsheets/d/1C3CXT74ZlgGe6_JY_1olB1XN4rF0dxEuIIF-xsYjHgg/edit?usp=sharing"",""พรบ!W75"")"),0)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6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IFERROR(__xludf.DUMMYFUNCTION("IMPORTRANGE(""https://docs.google.com/spreadsheets/d/1C3CXT74ZlgGe6_JY_1olB1XN4rF0dxEuIIF-xsYjHgg/edit?usp=sharing"",""พรบ!Y75"")"),0)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IFERROR(__xludf.DUMMYFUNCTION("IMPORTRANGE(""https://docs.google.com/spreadsheets/d/1C3CXT74ZlgGe6_JY_1olB1XN4rF0dxEuIIF-xsYjHgg/edit?usp=sharing"",""พรบ!Z75"")"),0)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246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IFERROR(__xludf.DUMMYFUNCTION("IMPORTRANGE(""https://docs.google.com/spreadsheets/d/1C3CXT74ZlgGe6_JY_1olB1XN4rF0dxEuIIF-xsYjHgg/edit?usp=sharing"",""พรบ!AA75"")"),0)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7">
        <v>0</v>
      </c>
      <c r="K65" s="358"/>
      <c r="L65" s="359"/>
      <c r="M65" s="359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60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479100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479100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IFERROR(__xludf.DUMMYFUNCTION("IMPORTRANGE(""https://docs.google.com/spreadsheets/d/1C3CXT74ZlgGe6_JY_1olB1XN4rF0dxEuIIF-xsYjHgg/edit?usp=sharing"",""พรบ!AD75"")"),132000)</f>
        <v>132000</v>
      </c>
      <c r="M72" s="53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347100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IFERROR(__xludf.DUMMYFUNCTION("IMPORTRANGE(""https://docs.google.com/spreadsheets/d/1C3CXT74ZlgGe6_JY_1olB1XN4rF0dxEuIIF-xsYjHgg/edit?usp=sharing"",""พรบ!AF75"")"),7500)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IFERROR(__xludf.DUMMYFUNCTION("IMPORTRANGE(""https://docs.google.com/spreadsheets/d/1C3CXT74ZlgGe6_JY_1olB1XN4rF0dxEuIIF-xsYjHgg/edit?usp=sharing"",""พรบ!AG75"")"),4)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3</v>
      </c>
      <c r="J89" s="149">
        <f t="shared" si="21"/>
        <v>0</v>
      </c>
      <c r="K89" s="150">
        <f ca="1">IF(I89&gt;0,J89*100/I89,0)</f>
        <v>0</v>
      </c>
      <c r="L89" s="147">
        <f ca="1">L90+L91</f>
        <v>42000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42000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IFERROR(__xludf.DUMMYFUNCTION("IMPORTRANGE(""https://docs.google.com/spreadsheets/d/1C3CXT74ZlgGe6_JY_1olB1XN4rF0dxEuIIF-xsYjHgg/edit?usp=sharing"",""พรบ!AH75"")"),42000)</f>
        <v>42000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IFERROR(__xludf.DUMMYFUNCTION("IMPORTRANGE(""https://docs.google.com/spreadsheets/d/1C3CXT74ZlgGe6_JY_1olB1XN4rF0dxEuIIF-xsYjHgg/edit?usp=sharing"",""พรบ!AI75"")"),3)</f>
        <v>3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IFERROR(__xludf.DUMMYFUNCTION("IMPORTRANGE(""https://docs.google.com/spreadsheets/d/1C3CXT74ZlgGe6_JY_1olB1XN4rF0dxEuIIF-xsYjHgg/edit?usp=sharing"",""กปร!C75"")"),36000)</f>
        <v>36000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6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90000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90000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47"/>
      <c r="K104" s="48"/>
      <c r="L104" s="52">
        <f ca="1">IFERROR(__xludf.DUMMYFUNCTION("IMPORTRANGE(""https://docs.google.com/spreadsheets/d/1C3CXT74ZlgGe6_JY_1olB1XN4rF0dxEuIIF-xsYjHgg/edit?usp=sharing"",""พรบ!AJ75"")"),90000)</f>
        <v>90000</v>
      </c>
      <c r="M104" s="53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47"/>
      <c r="K105" s="48"/>
      <c r="L105" s="60"/>
      <c r="M105" s="60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7">
        <v>0</v>
      </c>
      <c r="K106" s="48"/>
      <c r="L106" s="60"/>
      <c r="M106" s="60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7">
        <v>0</v>
      </c>
      <c r="K107" s="48"/>
      <c r="L107" s="60" t="s">
        <v>21</v>
      </c>
      <c r="M107" s="60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7">
        <v>0</v>
      </c>
      <c r="K108" s="48"/>
      <c r="L108" s="60"/>
      <c r="M108" s="60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7">
        <v>0</v>
      </c>
      <c r="K109" s="48"/>
      <c r="L109" s="60"/>
      <c r="M109" s="60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IFERROR(__xludf.DUMMYFUNCTION("IMPORTRANGE(""https://docs.google.com/spreadsheets/d/1C3CXT74ZlgGe6_JY_1olB1XN4rF0dxEuIIF-xsYjHgg/edit?usp=sharing"",""พรบ!AK75"")"),6)</f>
        <v>6</v>
      </c>
      <c r="J110" s="67">
        <v>0</v>
      </c>
      <c r="K110" s="48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IFERROR(__xludf.DUMMYFUNCTION("IMPORTRANGE(""https://docs.google.com/spreadsheets/d/1C3CXT74ZlgGe6_JY_1olB1XN4rF0dxEuIIF-xsYjHgg/edit?usp=sharing"",""กปร!D75"")"),30000)</f>
        <v>30000</v>
      </c>
      <c r="M110" s="361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IFERROR(__xludf.DUMMYFUNCTION("IMPORTRANGE(""https://docs.google.com/spreadsheets/d/1C3CXT74ZlgGe6_JY_1olB1XN4rF0dxEuIIF-xsYjHgg/edit?usp=sharing"",""พรบ!AL75"")"),6)</f>
        <v>6</v>
      </c>
      <c r="J111" s="67">
        <v>0</v>
      </c>
      <c r="K111" s="48">
        <f t="shared" ca="1" si="26"/>
        <v>0</v>
      </c>
      <c r="L111" s="52">
        <f ca="1">IFERROR(__xludf.DUMMYFUNCTION("IMPORTRANGE(""https://docs.google.com/spreadsheets/d/1C3CXT74ZlgGe6_JY_1olB1XN4rF0dxEuIIF-xsYjHgg/edit?usp=sharing"",""กปร!E75"")"),48000)</f>
        <v>48000</v>
      </c>
      <c r="M111" s="361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7">
        <v>0</v>
      </c>
      <c r="K112" s="48"/>
      <c r="L112" s="60"/>
      <c r="M112" s="60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84">
        <v>0</v>
      </c>
      <c r="K113" s="48"/>
      <c r="L113" s="60"/>
      <c r="M113" s="60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40000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16000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16000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IFERROR(__xludf.DUMMYFUNCTION("IMPORTRANGE(""https://docs.google.com/spreadsheets/d/1C3CXT74ZlgGe6_JY_1olB1XN4rF0dxEuIIF-xsYjHgg/edit?usp=sharing"",""พรบ!AM75"")"),16000)</f>
        <v>16000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IFERROR(__xludf.DUMMYFUNCTION("IMPORTRANGE(""https://docs.google.com/spreadsheets/d/1C3CXT74ZlgGe6_JY_1olB1XN4rF0dxEuIIF-xsYjHgg/edit?usp=sharing"",""พรบ!AO75"")"),40000)</f>
        <v>40000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IFERROR(__xludf.DUMMYFUNCTION("IMPORTRANGE(""https://docs.google.com/spreadsheets/d/1C3CXT74ZlgGe6_JY_1olB1XN4rF0dxEuIIF-xsYjHgg/edit?usp=sharing"",""พรบ!AP75"")"),40000)</f>
        <v>40000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IFERROR(__xludf.DUMMYFUNCTION("IMPORTRANGE(""https://docs.google.com/spreadsheets/d/1C3CXT74ZlgGe6_JY_1olB1XN4rF0dxEuIIF-xsYjHgg/edit?usp=sharing"",""กปร!F75"")"),10000)</f>
        <v>10000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IFERROR(__xludf.DUMMYFUNCTION("IMPORTRANGE(""https://docs.google.com/spreadsheets/d/1C3CXT74ZlgGe6_JY_1olB1XN4rF0dxEuIIF-xsYjHgg/edit?usp=sharing"",""พรบ!AQ75"")"),0)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IFERROR(__xludf.DUMMYFUNCTION("IMPORTRANGE(""https://docs.google.com/spreadsheets/d/1C3CXT74ZlgGe6_JY_1olB1XN4rF0dxEuIIF-xsYjHgg/edit?usp=sharing"",""กปร!G75"")"),0)</f>
        <v>0</v>
      </c>
      <c r="M126" s="361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241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60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191600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191600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47"/>
      <c r="K132" s="48"/>
      <c r="L132" s="52">
        <f ca="1">IFERROR(__xludf.DUMMYFUNCTION("IMPORTRANGE(""https://docs.google.com/spreadsheets/d/1C3CXT74ZlgGe6_JY_1olB1XN4rF0dxEuIIF-xsYjHgg/edit?usp=sharing"",""พรบ!AR75"")"),191600)</f>
        <v>191600</v>
      </c>
      <c r="M132" s="53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47"/>
      <c r="K133" s="48"/>
      <c r="L133" s="60"/>
      <c r="M133" s="60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7">
        <v>0</v>
      </c>
      <c r="K134" s="48"/>
      <c r="L134" s="60"/>
      <c r="M134" s="60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7">
        <v>0</v>
      </c>
      <c r="K135" s="48"/>
      <c r="L135" s="60" t="s">
        <v>21</v>
      </c>
      <c r="M135" s="60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7">
        <v>0</v>
      </c>
      <c r="K136" s="48"/>
      <c r="L136" s="60"/>
      <c r="M136" s="60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7">
        <v>0</v>
      </c>
      <c r="K137" s="48"/>
      <c r="L137" s="52">
        <f ca="1">IFERROR(__xludf.DUMMYFUNCTION("IMPORTRANGE(""https://docs.google.com/spreadsheets/d/1C3CXT74ZlgGe6_JY_1olB1XN4rF0dxEuIIF-xsYjHgg/edit?usp=sharing"",""กปร!H75"")"),94600)</f>
        <v>94600</v>
      </c>
      <c r="M137" s="52">
        <f>M138+M139</f>
        <v>0</v>
      </c>
      <c r="N137" s="52">
        <f t="shared" ref="N137:N141" ca="1" si="34">+IF(L137&gt;0,M137*100/L137,0)</f>
        <v>0</v>
      </c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IFERROR(__xludf.DUMMYFUNCTION("IMPORTRANGE(""https://docs.google.com/spreadsheets/d/1C3CXT74ZlgGe6_JY_1olB1XN4rF0dxEuIIF-xsYjHgg/edit?usp=sharing"",""พรบ!AS75"")"),60)</f>
        <v>60</v>
      </c>
      <c r="J138" s="67">
        <v>0</v>
      </c>
      <c r="K138" s="48">
        <f ca="1">IF(I138&gt;0,J138*100/I138,0)</f>
        <v>0</v>
      </c>
      <c r="L138" s="365">
        <v>64400</v>
      </c>
      <c r="M138" s="366">
        <v>0</v>
      </c>
      <c r="N138" s="365">
        <f t="shared" si="34"/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48"/>
      <c r="L139" s="367">
        <v>30200</v>
      </c>
      <c r="M139" s="366">
        <v>0</v>
      </c>
      <c r="N139" s="365">
        <f t="shared" si="34"/>
        <v>0</v>
      </c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IFERROR(__xludf.DUMMYFUNCTION("IMPORTRANGE(""https://docs.google.com/spreadsheets/d/1C3CXT74ZlgGe6_JY_1olB1XN4rF0dxEuIIF-xsYjHgg/edit?usp=sharing"",""พรบ!AT75"")"),23)</f>
        <v>23</v>
      </c>
      <c r="J140" s="67">
        <v>0</v>
      </c>
      <c r="K140" s="48">
        <f t="shared" ref="K140:K141" ca="1" si="35">IF(I140&gt;0,J140*100/I140,0)</f>
        <v>0</v>
      </c>
      <c r="L140" s="52">
        <f ca="1">IFERROR(__xludf.DUMMYFUNCTION("IMPORTRANGE(""https://docs.google.com/spreadsheets/d/1C3CXT74ZlgGe6_JY_1olB1XN4rF0dxEuIIF-xsYjHgg/edit?usp=sharing"",""กปร!I75"")"),20000)</f>
        <v>20000</v>
      </c>
      <c r="M140" s="361">
        <v>0</v>
      </c>
      <c r="N140" s="52">
        <f t="shared" ca="1" si="34"/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IFERROR(__xludf.DUMMYFUNCTION("IMPORTRANGE(""https://docs.google.com/spreadsheets/d/1C3CXT74ZlgGe6_JY_1olB1XN4rF0dxEuIIF-xsYjHgg/edit?usp=sharing"",""พรบ!AU75"")"),0)</f>
        <v>0</v>
      </c>
      <c r="J141" s="66">
        <v>0</v>
      </c>
      <c r="K141" s="48">
        <f t="shared" ca="1" si="35"/>
        <v>0</v>
      </c>
      <c r="L141" s="52">
        <f ca="1">IFERROR(__xludf.DUMMYFUNCTION("IMPORTRANGE(""https://docs.google.com/spreadsheets/d/1C3CXT74ZlgGe6_JY_1olB1XN4rF0dxEuIIF-xsYjHgg/edit?usp=sharing"",""กปร!J75"")"),30000)</f>
        <v>30000</v>
      </c>
      <c r="M141" s="361">
        <v>0</v>
      </c>
      <c r="N141" s="52">
        <f t="shared" ca="1" si="34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7">
        <v>0</v>
      </c>
      <c r="K142" s="48"/>
      <c r="L142" s="60"/>
      <c r="M142" s="60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112">
        <v>0</v>
      </c>
      <c r="K143" s="113"/>
      <c r="L143" s="114"/>
      <c r="M143" s="114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13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19295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19295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IFERROR(__xludf.DUMMYFUNCTION("IMPORTRANGE(""https://docs.google.com/spreadsheets/d/1C3CXT74ZlgGe6_JY_1olB1XN4rF0dxEuIIF-xsYjHgg/edit?usp=sharing"",""พรบ!AY75"")"),19295)</f>
        <v>19295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13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IFERROR(__xludf.DUMMYFUNCTION("IMPORTRANGE(""https://docs.google.com/spreadsheets/d/1C3CXT74ZlgGe6_JY_1olB1XN4rF0dxEuIIF-xsYjHgg/edit?usp=sharing"",""พรบ!BA75"")"),13)</f>
        <v>13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66"/>
      <c r="K171" s="232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66"/>
      <c r="K172" s="232"/>
      <c r="L172" s="52">
        <f ca="1">IFERROR(__xludf.DUMMYFUNCTION("IMPORTRANGE(""https://docs.google.com/spreadsheets/d/1C3CXT74ZlgGe6_JY_1olB1XN4rF0dxEuIIF-xsYjHgg/edit?usp=sharing"",""พรบ!BD75"")"),0)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66"/>
      <c r="K173" s="232"/>
      <c r="L173" s="52">
        <f ca="1">IFERROR(__xludf.DUMMYFUNCTION("IMPORTRANGE(""https://docs.google.com/spreadsheets/d/1C3CXT74ZlgGe6_JY_1olB1XN4rF0dxEuIIF-xsYjHgg/edit?usp=sharing"",""พรบ!BE75"")"),0)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IFERROR(__xludf.DUMMYFUNCTION("IMPORTRANGE(""https://docs.google.com/spreadsheets/d/1C3CXT74ZlgGe6_JY_1olB1XN4rF0dxEuIIF-xsYjHgg/edit?usp=sharing"",""พรบ!BF75"")"),0)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IFERROR(__xludf.DUMMYFUNCTION("IMPORTRANGE(""https://docs.google.com/spreadsheets/d/1C3CXT74ZlgGe6_JY_1olB1XN4rF0dxEuIIF-xsYjHgg/edit?usp=sharing"",""พรบ!BG75"")"),0)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IFERROR(__xludf.DUMMYFUNCTION("IMPORTRANGE(""https://docs.google.com/spreadsheets/d/1C3CXT74ZlgGe6_JY_1olB1XN4rF0dxEuIIF-xsYjHgg/edit?usp=sharing"",""พรบ!BH75"")"),0)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IFERROR(__xludf.DUMMYFUNCTION("IMPORTRANGE(""https://docs.google.com/spreadsheets/d/1C3CXT74ZlgGe6_JY_1olB1XN4rF0dxEuIIF-xsYjHgg/edit?usp=sharing"",""พรบ!BI75"")"),0)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7">
        <v>0</v>
      </c>
      <c r="K184" s="358"/>
      <c r="L184" s="359"/>
      <c r="M184" s="359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15</v>
      </c>
      <c r="J185" s="177">
        <f>+J195</f>
        <v>0</v>
      </c>
      <c r="K185" s="178">
        <f ca="1">IF(I185&gt;0,J185*100/I185,0)</f>
        <v>0</v>
      </c>
      <c r="L185" s="179">
        <f ca="1">L186+L187</f>
        <v>55200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55200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IFERROR(__xludf.DUMMYFUNCTION("IMPORTRANGE(""https://docs.google.com/spreadsheets/d/1C3CXT74ZlgGe6_JY_1olB1XN4rF0dxEuIIF-xsYjHgg/edit?usp=sharing"",""พรบ!BK75"")"),0)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IFERROR(__xludf.DUMMYFUNCTION("IMPORTRANGE(""https://docs.google.com/spreadsheets/d/1C3CXT74ZlgGe6_JY_1olB1XN4rF0dxEuIIF-xsYjHgg/edit?usp=sharing"",""พรบ!BL75"")"),55200)</f>
        <v>55200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0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0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IFERROR(__xludf.DUMMYFUNCTION("IMPORTRANGE(""https://docs.google.com/spreadsheets/d/1C3CXT74ZlgGe6_JY_1olB1XN4rF0dxEuIIF-xsYjHgg/edit?usp=sharing"",""พรบ!BM75"")"),15)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40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123640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123640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47"/>
      <c r="K203" s="48"/>
      <c r="L203" s="52">
        <f ca="1">IFERROR(__xludf.DUMMYFUNCTION("IMPORTRANGE(""https://docs.google.com/spreadsheets/d/1C3CXT74ZlgGe6_JY_1olB1XN4rF0dxEuIIF-xsYjHgg/edit?usp=sharing"",""พรบ!BP75"")"),123640)</f>
        <v>123640</v>
      </c>
      <c r="M203" s="53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47"/>
      <c r="K204" s="48"/>
      <c r="L204" s="60"/>
      <c r="M204" s="60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7">
        <v>0</v>
      </c>
      <c r="K205" s="48"/>
      <c r="L205" s="60"/>
      <c r="M205" s="60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7">
        <v>0</v>
      </c>
      <c r="K206" s="48"/>
      <c r="L206" s="60" t="s">
        <v>21</v>
      </c>
      <c r="M206" s="60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7">
        <v>0</v>
      </c>
      <c r="K207" s="48"/>
      <c r="L207" s="60"/>
      <c r="M207" s="60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7">
        <v>0</v>
      </c>
      <c r="K208" s="48"/>
      <c r="L208" s="60"/>
      <c r="M208" s="60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IFERROR(__xludf.DUMMYFUNCTION("IMPORTRANGE(""https://docs.google.com/spreadsheets/d/1C3CXT74ZlgGe6_JY_1olB1XN4rF0dxEuIIF-xsYjHgg/edit?usp=sharing"",""พรบ!BQ75"")"),40)</f>
        <v>40</v>
      </c>
      <c r="J209" s="67">
        <v>0</v>
      </c>
      <c r="K209" s="48">
        <f ca="1">IF(I209&gt;0,J209*100/I209,0)</f>
        <v>0</v>
      </c>
      <c r="L209" s="60"/>
      <c r="M209" s="60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48"/>
      <c r="L210" s="60"/>
      <c r="M210" s="60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IFERROR(__xludf.DUMMYFUNCTION("IMPORTRANGE(""https://docs.google.com/spreadsheets/d/1C3CXT74ZlgGe6_JY_1olB1XN4rF0dxEuIIF-xsYjHgg/edit?usp=sharing"",""พรบ!BR75"")"),40)</f>
        <v>40</v>
      </c>
      <c r="J211" s="67">
        <v>0</v>
      </c>
      <c r="K211" s="48">
        <f ca="1">IF(I211&gt;0,J211*100/I211,0)</f>
        <v>0</v>
      </c>
      <c r="L211" s="60"/>
      <c r="M211" s="60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7">
        <v>0</v>
      </c>
      <c r="K212" s="48"/>
      <c r="L212" s="60"/>
      <c r="M212" s="60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187">
        <v>0</v>
      </c>
      <c r="K213" s="48"/>
      <c r="L213" s="60"/>
      <c r="M213" s="60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10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395600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395600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47"/>
      <c r="K218" s="48"/>
      <c r="L218" s="52">
        <f ca="1">IFERROR(__xludf.DUMMYFUNCTION("IMPORTRANGE(""https://docs.google.com/spreadsheets/d/1C3CXT74ZlgGe6_JY_1olB1XN4rF0dxEuIIF-xsYjHgg/edit?usp=sharing"",""พรบ!BU75"")"),395600)</f>
        <v>395600</v>
      </c>
      <c r="M218" s="53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47"/>
      <c r="K219" s="48"/>
      <c r="L219" s="60"/>
      <c r="M219" s="60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7">
        <v>0</v>
      </c>
      <c r="K220" s="48"/>
      <c r="L220" s="60"/>
      <c r="M220" s="60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7">
        <v>0</v>
      </c>
      <c r="K221" s="48"/>
      <c r="L221" s="60" t="s">
        <v>21</v>
      </c>
      <c r="M221" s="60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7">
        <v>0</v>
      </c>
      <c r="K222" s="48"/>
      <c r="L222" s="60"/>
      <c r="M222" s="60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7">
        <v>0</v>
      </c>
      <c r="K223" s="48"/>
      <c r="L223" s="60"/>
      <c r="M223" s="60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IFERROR(__xludf.DUMMYFUNCTION("IMPORTRANGE(""https://docs.google.com/spreadsheets/d/1C3CXT74ZlgGe6_JY_1olB1XN4rF0dxEuIIF-xsYjHgg/edit?usp=sharing"",""พรบ!BV75"")"),10)</f>
        <v>10</v>
      </c>
      <c r="J224" s="67">
        <v>0</v>
      </c>
      <c r="K224" s="48">
        <f ca="1">IF(I224&gt;0,J224*100/I224,0)</f>
        <v>0</v>
      </c>
      <c r="L224" s="60"/>
      <c r="M224" s="60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7">
        <v>0</v>
      </c>
      <c r="K225" s="48"/>
      <c r="L225" s="60"/>
      <c r="M225" s="60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84">
        <v>0</v>
      </c>
      <c r="K226" s="48"/>
      <c r="L226" s="60"/>
      <c r="M226" s="60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780</v>
      </c>
      <c r="J228" s="197">
        <f ca="1">J240</f>
        <v>0</v>
      </c>
      <c r="K228" s="178">
        <f ca="1">IF(I228&gt;0,J228*100/I228,0)</f>
        <v>0</v>
      </c>
      <c r="L228" s="179">
        <f ca="1">L229+L230</f>
        <v>1350040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1350040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IFERROR(__xludf.DUMMYFUNCTION("IMPORTRANGE(""https://docs.google.com/spreadsheets/d/1C3CXT74ZlgGe6_JY_1olB1XN4rF0dxEuIIF-xsYjHgg/edit?usp=sharing"",""พรบ!BX75"")"),306000)</f>
        <v>306000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IFERROR(__xludf.DUMMYFUNCTION("IMPORTRANGE(""https://docs.google.com/spreadsheets/d/1C3CXT74ZlgGe6_JY_1olB1XN4rF0dxEuIIF-xsYjHgg/edit?usp=sharing"",""พรบ!BY75"")"),1044040)</f>
        <v>1044040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IFERROR(__xludf.DUMMYFUNCTION("IMPORTRANGE(""https://docs.google.com/spreadsheets/d/1AGHcLOeeYFL3K4b9R1dSzyJy00PE_ra89DNTVfnxSWM/edit?usp=sharing"",""รวมที่ทำกิน!J64"")"),43)</f>
        <v>43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IFERROR(__xludf.DUMMYFUNCTION("IMPORTRANGE(""https://docs.google.com/spreadsheets/d/1C3CXT74ZlgGe6_JY_1olB1XN4rF0dxEuIIF-xsYjHgg/edit?usp=sharing"",""พรบ!BZ75"")"),8720)</f>
        <v>8720</v>
      </c>
      <c r="J235" s="66">
        <f ca="1">IFERROR(__xludf.DUMMYFUNCTION("IMPORTRANGE(""https://docs.google.com/spreadsheets/d/1AGHcLOeeYFL3K4b9R1dSzyJy00PE_ra89DNTVfnxSWM/edit?usp=sharing"",""รวมที่ทำกิน!L64"")"),578.61)</f>
        <v>578.61</v>
      </c>
      <c r="K235" s="200">
        <f t="shared" ca="1" si="52"/>
        <v>6.6354357798165138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IFERROR(__xludf.DUMMYFUNCTION("IMPORTRANGE(""https://docs.google.com/spreadsheets/d/1C3CXT74ZlgGe6_JY_1olB1XN4rF0dxEuIIF-xsYjHgg/edit?usp=sharing"",""พรบ!CA75"")"),780)</f>
        <v>780</v>
      </c>
      <c r="J236" s="66">
        <f ca="1">IFERROR(__xludf.DUMMYFUNCTION("IMPORTRANGE(""https://docs.google.com/spreadsheets/d/1AGHcLOeeYFL3K4b9R1dSzyJy00PE_ra89DNTVfnxSWM/edit?usp=sharing"",""รวมที่ทำกิน!O64"")"),43)</f>
        <v>43</v>
      </c>
      <c r="K236" s="200">
        <f t="shared" ca="1" si="52"/>
        <v>5.5128205128205128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IFERROR(__xludf.DUMMYFUNCTION("IMPORTRANGE(""https://docs.google.com/spreadsheets/d/1AGHcLOeeYFL3K4b9R1dSzyJy00PE_ra89DNTVfnxSWM/edit?usp=sharing"",""รวมที่ทำกิน!Q64"")"),578.61)</f>
        <v>578.61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IFERROR(__xludf.DUMMYFUNCTION("IMPORTRANGE(""https://docs.google.com/spreadsheets/d/1C3CXT74ZlgGe6_JY_1olB1XN4rF0dxEuIIF-xsYjHgg/edit?usp=sharing"",""พรบ!CB75"")"),780)</f>
        <v>780</v>
      </c>
      <c r="J238" s="66">
        <f ca="1">IFERROR(__xludf.DUMMYFUNCTION("IMPORTRANGE(""https://docs.google.com/spreadsheets/d/1AGHcLOeeYFL3K4b9R1dSzyJy00PE_ra89DNTVfnxSWM/edit?usp=sharing"",""รวมที่ทำกิน!S64"")"),0)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IFERROR(__xludf.DUMMYFUNCTION("IMPORTRANGE(""https://docs.google.com/spreadsheets/d/1AGHcLOeeYFL3K4b9R1dSzyJy00PE_ra89DNTVfnxSWM/edit?usp=sharing"",""รวมที่ทำกิน!U64"")"),0)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IFERROR(__xludf.DUMMYFUNCTION("IMPORTRANGE(""https://docs.google.com/spreadsheets/d/1C3CXT74ZlgGe6_JY_1olB1XN4rF0dxEuIIF-xsYjHgg/edit?usp=sharing"",""พรบ!CC75"")"),780)</f>
        <v>780</v>
      </c>
      <c r="J240" s="66">
        <f ca="1">IFERROR(__xludf.DUMMYFUNCTION("IMPORTRANGE(""https://docs.google.com/spreadsheets/d/1AGHcLOeeYFL3K4b9R1dSzyJy00PE_ra89DNTVfnxSWM/edit?usp=sharing"",""รวมที่ทำกิน!W64"")"),0)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IFERROR(__xludf.DUMMYFUNCTION("IMPORTRANGE(""https://docs.google.com/spreadsheets/d/1AGHcLOeeYFL3K4b9R1dSzyJy00PE_ra89DNTVfnxSWM/edit?usp=sharing"",""รวมที่ทำกิน!Y64"")"),0)</f>
        <v>0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2963478</v>
      </c>
      <c r="M242" s="213">
        <f t="shared" si="53"/>
        <v>0</v>
      </c>
      <c r="N242" s="213">
        <f ca="1">+IF(L242&gt;0,M242*100/L242,0)</f>
        <v>0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0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IFERROR(__xludf.DUMMYFUNCTION("IMPORTRANGE(""https://docs.google.com/spreadsheets/d/1C3CXT74ZlgGe6_JY_1olB1XN4rF0dxEuIIF-xsYjHgg/edit?usp=sharing"",""งบกองทุน!d75"")"),0)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IFERROR(__xludf.DUMMYFUNCTION("IMPORTRANGE(""https://docs.google.com/spreadsheets/d/1C3CXT74ZlgGe6_JY_1olB1XN4rF0dxEuIIF-xsYjHgg/edit?usp=sharing"",""งบกองทุน!e75"")"),0)</f>
        <v>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2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2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2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2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66"/>
      <c r="K254" s="232"/>
      <c r="L254" s="52"/>
      <c r="M254" s="52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6">
        <v>0</v>
      </c>
      <c r="K255" s="232"/>
      <c r="L255" s="52"/>
      <c r="M255" s="52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6">
        <v>0</v>
      </c>
      <c r="K256" s="232"/>
      <c r="L256" s="52" t="s">
        <v>21</v>
      </c>
      <c r="M256" s="52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6">
        <v>0</v>
      </c>
      <c r="K257" s="232"/>
      <c r="L257" s="52"/>
      <c r="M257" s="52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6">
        <v>0</v>
      </c>
      <c r="K258" s="232"/>
      <c r="L258" s="52"/>
      <c r="M258" s="52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232"/>
      <c r="L259" s="52"/>
      <c r="M259" s="52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IFERROR(__xludf.DUMMYFUNCTION("IMPORTRANGE(""https://docs.google.com/spreadsheets/d/1C3CXT74ZlgGe6_JY_1olB1XN4rF0dxEuIIF-xsYjHgg/edit?usp=sharing"",""งบกองทุน!f75"")"),0)</f>
        <v>0</v>
      </c>
      <c r="J260" s="66">
        <v>0</v>
      </c>
      <c r="K260" s="232">
        <f ca="1">IF(I260&gt;0,J260*100/I260,0)</f>
        <v>0</v>
      </c>
      <c r="L260" s="52"/>
      <c r="M260" s="52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232"/>
      <c r="L261" s="52"/>
      <c r="M261" s="52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0</v>
      </c>
      <c r="J262" s="66">
        <f t="shared" si="59"/>
        <v>0</v>
      </c>
      <c r="K262" s="232">
        <f t="shared" ref="K262:K268" ca="1" si="60">IF(I262&gt;0,J262*100/I262,0)</f>
        <v>0</v>
      </c>
      <c r="L262" s="52"/>
      <c r="M262" s="52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IFERROR(__xludf.DUMMYFUNCTION("IMPORTRANGE(""https://docs.google.com/spreadsheets/d/1C3CXT74ZlgGe6_JY_1olB1XN4rF0dxEuIIF-xsYjHgg/edit?usp=sharing"",""งบกองทุน!H75"")"),0)</f>
        <v>0</v>
      </c>
      <c r="J263" s="66">
        <f>J267</f>
        <v>0</v>
      </c>
      <c r="K263" s="232">
        <f t="shared" ca="1" si="60"/>
        <v>0</v>
      </c>
      <c r="L263" s="52"/>
      <c r="M263" s="52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IFERROR(__xludf.DUMMYFUNCTION("IMPORTRANGE(""https://docs.google.com/spreadsheets/d/1C3CXT74ZlgGe6_JY_1olB1XN4rF0dxEuIIF-xsYjHgg/edit?usp=sharing"",""งบกองทุน!i75"")"),0)</f>
        <v>0</v>
      </c>
      <c r="J264" s="66">
        <v>0</v>
      </c>
      <c r="K264" s="232">
        <f t="shared" ca="1" si="60"/>
        <v>0</v>
      </c>
      <c r="L264" s="52"/>
      <c r="M264" s="52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0</v>
      </c>
      <c r="J265" s="66">
        <v>0</v>
      </c>
      <c r="K265" s="232">
        <f t="shared" ca="1" si="60"/>
        <v>0</v>
      </c>
      <c r="L265" s="52"/>
      <c r="M265" s="52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IFERROR(__xludf.DUMMYFUNCTION("IMPORTRANGE(""https://docs.google.com/spreadsheets/d/1C3CXT74ZlgGe6_JY_1olB1XN4rF0dxEuIIF-xsYjHgg/edit?usp=sharing"",""งบกองทุน!k75"")"),0)</f>
        <v>0</v>
      </c>
      <c r="J266" s="66">
        <v>0</v>
      </c>
      <c r="K266" s="232">
        <f t="shared" ca="1" si="60"/>
        <v>0</v>
      </c>
      <c r="L266" s="52"/>
      <c r="M266" s="52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0</v>
      </c>
      <c r="J267" s="66">
        <v>0</v>
      </c>
      <c r="K267" s="232">
        <f t="shared" ca="1" si="60"/>
        <v>0</v>
      </c>
      <c r="L267" s="52"/>
      <c r="M267" s="52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IFERROR(__xludf.DUMMYFUNCTION("IMPORTRANGE(""https://docs.google.com/spreadsheets/d/1C3CXT74ZlgGe6_JY_1olB1XN4rF0dxEuIIF-xsYjHgg/edit?usp=sharing"",""งบกองทุน!m75"")"),0)</f>
        <v>0</v>
      </c>
      <c r="J268" s="66">
        <v>0</v>
      </c>
      <c r="K268" s="232">
        <f t="shared" ca="1" si="60"/>
        <v>0</v>
      </c>
      <c r="L268" s="52"/>
      <c r="M268" s="52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232"/>
      <c r="L269" s="52"/>
      <c r="M269" s="52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0</v>
      </c>
      <c r="J270" s="66">
        <f t="shared" si="61"/>
        <v>0</v>
      </c>
      <c r="K270" s="232">
        <f t="shared" ref="K270:K272" ca="1" si="62">IF(I270&gt;0,J270*100/I270,0)</f>
        <v>0</v>
      </c>
      <c r="L270" s="52"/>
      <c r="M270" s="52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IFERROR(__xludf.DUMMYFUNCTION("IMPORTRANGE(""https://docs.google.com/spreadsheets/d/1C3CXT74ZlgGe6_JY_1olB1XN4rF0dxEuIIF-xsYjHgg/edit?usp=sharing"",""งบกองทุน!o75"")"),0)</f>
        <v>0</v>
      </c>
      <c r="J271" s="66">
        <v>0</v>
      </c>
      <c r="K271" s="232">
        <f t="shared" ca="1" si="62"/>
        <v>0</v>
      </c>
      <c r="L271" s="52"/>
      <c r="M271" s="52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IFERROR(__xludf.DUMMYFUNCTION("IMPORTRANGE(""https://docs.google.com/spreadsheets/d/1C3CXT74ZlgGe6_JY_1olB1XN4rF0dxEuIIF-xsYjHgg/edit?usp=sharing"",""งบกองทุน!p75"")"),0)</f>
        <v>0</v>
      </c>
      <c r="J272" s="66">
        <v>0</v>
      </c>
      <c r="K272" s="232">
        <f t="shared" ca="1" si="62"/>
        <v>0</v>
      </c>
      <c r="L272" s="52"/>
      <c r="M272" s="52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6">
        <v>0</v>
      </c>
      <c r="K273" s="232"/>
      <c r="L273" s="52"/>
      <c r="M273" s="52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356">
        <v>0</v>
      </c>
      <c r="K274" s="232"/>
      <c r="L274" s="52"/>
      <c r="M274" s="52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1000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1028520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100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1028520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IFERROR(__xludf.DUMMYFUNCTION("IMPORTRANGE(""https://docs.google.com/spreadsheets/d/1C3CXT74ZlgGe6_JY_1olB1XN4rF0dxEuIIF-xsYjHgg/edit?usp=sharing"",""งบกองทุน!r75"")"),0)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IFERROR(__xludf.DUMMYFUNCTION("IMPORTRANGE(""https://docs.google.com/spreadsheets/d/1C3CXT74ZlgGe6_JY_1olB1XN4rF0dxEuIIF-xsYjHgg/edit?usp=sharing"",""งบกองทุน!s75"")"),1028520)</f>
        <v>1028520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0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IFERROR(__xludf.DUMMYFUNCTION("IMPORTRANGE(""https://docs.google.com/spreadsheets/d/1C3CXT74ZlgGe6_JY_1olB1XN4rF0dxEuIIF-xsYjHgg/edit?usp=sharing"",""งบกองทุน!v75"")"),100)</f>
        <v>100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IFERROR(__xludf.DUMMYFUNCTION("IMPORTRANGE(""https://docs.google.com/spreadsheets/d/1C3CXT74ZlgGe6_JY_1olB1XN4rF0dxEuIIF-xsYjHgg/edit?usp=sharing"",""งบกองทุน!w75"")"),1000)</f>
        <v>1000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IFERROR(__xludf.DUMMYFUNCTION("IMPORTRANGE(""https://docs.google.com/spreadsheets/d/1C3CXT74ZlgGe6_JY_1olB1XN4rF0dxEuIIF-xsYjHgg/edit?usp=sharing"",""งบกองทุน!x75"")"),100)</f>
        <v>100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195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196620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65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196620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IFERROR(__xludf.DUMMYFUNCTION("IMPORTRANGE(""https://docs.google.com/spreadsheets/d/1C3CXT74ZlgGe6_JY_1olB1XN4rF0dxEuIIF-xsYjHgg/edit?usp=sharing"",""งบกองทุน!z75"")"),0)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IFERROR(__xludf.DUMMYFUNCTION("IMPORTRANGE(""https://docs.google.com/spreadsheets/d/1C3CXT74ZlgGe6_JY_1olB1XN4rF0dxEuIIF-xsYjHgg/edit?usp=sharing"",""งบกองทุน!aa75"")"),196620)</f>
        <v>196620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65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IFERROR(__xludf.DUMMYFUNCTION("IMPORTRANGE(""https://docs.google.com/spreadsheets/d/1C3CXT74ZlgGe6_JY_1olB1XN4rF0dxEuIIF-xsYjHgg/edit?usp=sharing"",""งบกองทุน!ae75"")"),15)</f>
        <v>15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IFERROR(__xludf.DUMMYFUNCTION("IMPORTRANGE(""https://docs.google.com/spreadsheets/d/1C3CXT74ZlgGe6_JY_1olB1XN4rF0dxEuIIF-xsYjHgg/edit?usp=sharing"",""งบกองทุน!ad75"")"),45)</f>
        <v>45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IFERROR(__xludf.DUMMYFUNCTION("IMPORTRANGE(""https://docs.google.com/spreadsheets/d/1C3CXT74ZlgGe6_JY_1olB1XN4rF0dxEuIIF-xsYjHgg/edit?usp=sharing"",""งบกองทุน!af75"")"),15)</f>
        <v>15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IFERROR(__xludf.DUMMYFUNCTION("IMPORTRANGE(""https://docs.google.com/spreadsheets/d/1C3CXT74ZlgGe6_JY_1olB1XN4rF0dxEuIIF-xsYjHgg/edit?usp=sharing"",""งบกองทุน!ag75"")"),15)</f>
        <v>15</v>
      </c>
      <c r="J315" s="247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IFERROR(__xludf.DUMMYFUNCTION("IMPORTRANGE(""https://docs.google.com/spreadsheets/d/1C3CXT74ZlgGe6_JY_1olB1XN4rF0dxEuIIF-xsYjHgg/edit?usp=sharing"",""งบกองทุน!ai75"")"),26)</f>
        <v>26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IFERROR(__xludf.DUMMYFUNCTION("IMPORTRANGE(""https://docs.google.com/spreadsheets/d/1C3CXT74ZlgGe6_JY_1olB1XN4rF0dxEuIIF-xsYjHgg/edit?usp=sharing"",""งบกองทุน!ah75"")"),78)</f>
        <v>78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IFERROR(__xludf.DUMMYFUNCTION("IMPORTRANGE(""https://docs.google.com/spreadsheets/d/1C3CXT74ZlgGe6_JY_1olB1XN4rF0dxEuIIF-xsYjHgg/edit?usp=sharing"",""งบกองทุน!aj75"")"),26)</f>
        <v>26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IFERROR(__xludf.DUMMYFUNCTION("IMPORTRANGE(""https://docs.google.com/spreadsheets/d/1C3CXT74ZlgGe6_JY_1olB1XN4rF0dxEuIIF-xsYjHgg/edit?usp=sharing"",""งบกองทุน!ak75"")"),26)</f>
        <v>26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IFERROR(__xludf.DUMMYFUNCTION("IMPORTRANGE(""https://docs.google.com/spreadsheets/d/1C3CXT74ZlgGe6_JY_1olB1XN4rF0dxEuIIF-xsYjHgg/edit?usp=sharing"",""งบกองทุน!al75"")"),26)</f>
        <v>26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IFERROR(__xludf.DUMMYFUNCTION("IMPORTRANGE(""https://docs.google.com/spreadsheets/d/1C3CXT74ZlgGe6_JY_1olB1XN4rF0dxEuIIF-xsYjHgg/edit?usp=sharing"",""งบกองทุน!an75"")"),24)</f>
        <v>24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IFERROR(__xludf.DUMMYFUNCTION("IMPORTRANGE(""https://docs.google.com/spreadsheets/d/1C3CXT74ZlgGe6_JY_1olB1XN4rF0dxEuIIF-xsYjHgg/edit?usp=sharing"",""งบกองทุน!am75"")"),72)</f>
        <v>72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IFERROR(__xludf.DUMMYFUNCTION("IMPORTRANGE(""https://docs.google.com/spreadsheets/d/1C3CXT74ZlgGe6_JY_1olB1XN4rF0dxEuIIF-xsYjHgg/edit?usp=sharing"",""งบกองทุน!ao75"")"),24)</f>
        <v>24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IFERROR(__xludf.DUMMYFUNCTION("IMPORTRANGE(""https://docs.google.com/spreadsheets/d/1C3CXT74ZlgGe6_JY_1olB1XN4rF0dxEuIIF-xsYjHgg/edit?usp=sharing"",""งบกองทุน!ap75"")"),24)</f>
        <v>24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41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IFERROR(__xludf.DUMMYFUNCTION("IMPORTRANGE(""https://docs.google.com/spreadsheets/d/1C3CXT74ZlgGe6_JY_1olB1XN4rF0dxEuIIF-xsYjHgg/edit?usp=sharing"",""งบกองทุน!ar75"")"),15)</f>
        <v>15</v>
      </c>
      <c r="J326" s="67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IFERROR(__xludf.DUMMYFUNCTION("IMPORTRANGE(""https://docs.google.com/spreadsheets/d/1C3CXT74ZlgGe6_JY_1olB1XN4rF0dxEuIIF-xsYjHgg/edit?usp=sharing"",""งบกองทุน!as75"")"),26)</f>
        <v>26</v>
      </c>
      <c r="J327" s="67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15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83000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83000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IFERROR(__xludf.DUMMYFUNCTION("IMPORTRANGE(""https://docs.google.com/spreadsheets/d/1C3CXT74ZlgGe6_JY_1olB1XN4rF0dxEuIIF-xsYjHgg/edit?usp=sharing"",""งบกองทุน!au75"")"),0)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IFERROR(__xludf.DUMMYFUNCTION("IMPORTRANGE(""https://docs.google.com/spreadsheets/d/1C3CXT74ZlgGe6_JY_1olB1XN4rF0dxEuIIF-xsYjHgg/edit?usp=sharing"",""งบกองทุน!av75"")"),83000)</f>
        <v>83000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15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IFERROR(__xludf.DUMMYFUNCTION("IMPORTRANGE(""https://docs.google.com/spreadsheets/d/1C3CXT74ZlgGe6_JY_1olB1XN4rF0dxEuIIF-xsYjHgg/edit?usp=sharing"",""งบกองทุน!ay75"")"),15)</f>
        <v>15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IFERROR(__xludf.DUMMYFUNCTION("IMPORTRANGE(""https://docs.google.com/spreadsheets/d/1C3CXT74ZlgGe6_JY_1olB1XN4rF0dxEuIIF-xsYjHgg/edit?usp=sharing"",""งบกองทุน!az75"")"),0)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IFERROR(__xludf.DUMMYFUNCTION("IMPORTRANGE(""https://docs.google.com/spreadsheets/d/1C3CXT74ZlgGe6_JY_1olB1XN4rF0dxEuIIF-xsYjHgg/edit?usp=sharing"",""งบกองทุน!Ba75"")"),0)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60509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1071935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1071935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IFERROR(__xludf.DUMMYFUNCTION("IMPORTRANGE(""https://docs.google.com/spreadsheets/d/1C3CXT74ZlgGe6_JY_1olB1XN4rF0dxEuIIF-xsYjHgg/edit?usp=sharing"",""งบกองทุน!Bc75"")"),0)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IFERROR(__xludf.DUMMYFUNCTION("IMPORTRANGE(""https://docs.google.com/spreadsheets/d/1C3CXT74ZlgGe6_JY_1olB1XN4rF0dxEuIIF-xsYjHgg/edit?usp=sharing"",""งบกองทุน!Bd75"")"),1071935)</f>
        <v>1071935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IFERROR(__xludf.DUMMYFUNCTION("IMPORTRANGE(""https://docs.google.com/spreadsheets/d/1C3CXT74ZlgGe6_JY_1olB1XN4rF0dxEuIIF-xsYjHgg/edit?usp=sharing"",""งบกองทุน!BE75"")"),60509)</f>
        <v>60509</v>
      </c>
      <c r="J359" s="136">
        <f>+J376</f>
        <v>0</v>
      </c>
      <c r="K359" s="137">
        <f t="shared" ref="K359:K425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IFERROR(__xludf.DUMMYFUNCTION("IMPORTRANGE(""https://docs.google.com/spreadsheets/d/1C3CXT74ZlgGe6_JY_1olB1XN4rF0dxEuIIF-xsYjHgg/edit?usp=sharing"",""งบกองทุน!BE75"")"),60509)</f>
        <v>60509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IFERROR(__xludf.DUMMYFUNCTION("IMPORTRANGE(""https://docs.google.com/spreadsheets/d/1C3CXT74ZlgGe6_JY_1olB1XN4rF0dxEuIIF-xsYjHgg/edit?usp=sharing"",""งบกองทุน!BF75"")"),7113)</f>
        <v>7113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60509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265">
        <f ca="1">I361</f>
        <v>7113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60509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265">
        <f ca="1">I361</f>
        <v>7113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IFERROR(__xludf.DUMMYFUNCTION("IMPORTRANGE(""https://docs.google.com/spreadsheets/d/1C3CXT74ZlgGe6_JY_1olB1XN4rF0dxEuIIF-xsYjHgg/edit?usp=sharing"",""งบกองทุน!cd75"")"),29184)</f>
        <v>29184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IFERROR(__xludf.DUMMYFUNCTION("IMPORTRANGE(""https://docs.google.com/spreadsheets/d/1C3CXT74ZlgGe6_JY_1olB1XN4rF0dxEuIIF-xsYjHgg/edit?usp=sharing"",""งบกองทุน!cd75"")"),29184)</f>
        <v>29184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IFERROR(__xludf.DUMMYFUNCTION("IMPORTRANGE(""https://docs.google.com/spreadsheets/d/1C3CXT74ZlgGe6_JY_1olB1XN4rF0dxEuIIF-xsYjHgg/edit?usp=sharing"",""งบกองทุน!cc75"")"),1782)</f>
        <v>1782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IFERROR(__xludf.DUMMYFUNCTION("IMPORTRANGE(""https://docs.google.com/spreadsheets/d/1C3CXT74ZlgGe6_JY_1olB1XN4rF0dxEuIIF-xsYjHgg/edit?usp=sharing"",""งบกองทุน!cz75"")"),0)</f>
        <v>0</v>
      </c>
      <c r="J409" s="136">
        <v>0</v>
      </c>
      <c r="K409" s="137">
        <f t="shared" ca="1" si="82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IFERROR(__xludf.DUMMYFUNCTION("IMPORTRANGE(""https://docs.google.com/spreadsheets/d/1C3CXT74ZlgGe6_JY_1olB1XN4rF0dxEuIIF-xsYjHgg/edit?usp=sharing"",""งบกองทุน!cz75"")"),0)</f>
        <v>0</v>
      </c>
      <c r="J410" s="149">
        <v>0</v>
      </c>
      <c r="K410" s="146">
        <f t="shared" ca="1" si="82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IFERROR(__xludf.DUMMYFUNCTION("IMPORTRANGE(""https://docs.google.com/spreadsheets/d/1C3CXT74ZlgGe6_JY_1olB1XN4rF0dxEuIIF-xsYjHgg/edit?usp=sharing"",""งบกองทุน!cy75"")"),0)</f>
        <v>0</v>
      </c>
      <c r="J411" s="149">
        <v>0</v>
      </c>
      <c r="K411" s="146">
        <f t="shared" ca="1" si="82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IFERROR(__xludf.DUMMYFUNCTION("IMPORTRANGE(""https://docs.google.com/spreadsheets/d/1C3CXT74ZlgGe6_JY_1olB1XN4rF0dxEuIIF-xsYjHgg/edit?usp=sharing"",""งบกองทุน!db75"")"),0)</f>
        <v>0</v>
      </c>
      <c r="K412" s="48">
        <f t="shared" si="82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IFERROR(__xludf.DUMMYFUNCTION("IMPORTRANGE(""https://docs.google.com/spreadsheets/d/1C3CXT74ZlgGe6_JY_1olB1XN4rF0dxEuIIF-xsYjHgg/edit?usp=sharing"",""งบกองทุน!da75"")"),0)</f>
        <v>0</v>
      </c>
      <c r="K413" s="48">
        <f t="shared" si="82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IFERROR(__xludf.DUMMYFUNCTION("IMPORTRANGE(""https://docs.google.com/spreadsheets/d/1C3CXT74ZlgGe6_JY_1olB1XN4rF0dxEuIIF-xsYjHgg/edit?usp=sharing"",""งบกองทุน!dd75"")"),0)</f>
        <v>0</v>
      </c>
      <c r="K414" s="48">
        <f t="shared" si="82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IFERROR(__xludf.DUMMYFUNCTION("IMPORTRANGE(""https://docs.google.com/spreadsheets/d/1C3CXT74ZlgGe6_JY_1olB1XN4rF0dxEuIIF-xsYjHgg/edit?usp=sharing"",""งบกองทุน!dc75"")"),0)</f>
        <v>0</v>
      </c>
      <c r="K415" s="48">
        <f t="shared" si="82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IFERROR(__xludf.DUMMYFUNCTION("IMPORTRANGE(""https://docs.google.com/spreadsheets/d/1C3CXT74ZlgGe6_JY_1olB1XN4rF0dxEuIIF-xsYjHgg/edit?usp=sharing"",""งบกองทุน!df75"")"),0)</f>
        <v>0</v>
      </c>
      <c r="K416" s="48">
        <f t="shared" si="82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IFERROR(__xludf.DUMMYFUNCTION("IMPORTRANGE(""https://docs.google.com/spreadsheets/d/1C3CXT74ZlgGe6_JY_1olB1XN4rF0dxEuIIF-xsYjHgg/edit?usp=sharing"",""งบกองทุน!de75"")"),0)</f>
        <v>0</v>
      </c>
      <c r="K417" s="48">
        <f t="shared" si="82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f t="shared" ca="1" si="82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f t="shared" ca="1" si="82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f t="shared" si="82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f t="shared" si="82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f t="shared" si="82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f t="shared" si="82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f t="shared" si="82"/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4">
        <v>0</v>
      </c>
      <c r="J425" s="300">
        <v>0</v>
      </c>
      <c r="K425" s="301">
        <f t="shared" si="82"/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22</v>
      </c>
      <c r="J426" s="257">
        <f t="shared" si="91"/>
        <v>0</v>
      </c>
      <c r="K426" s="258">
        <f ca="1">IF(I426&gt;0,J426*100/I426,0)</f>
        <v>0</v>
      </c>
      <c r="L426" s="259">
        <f t="shared" ref="L426:M426" ca="1" si="92">SUM(L427:L428)</f>
        <v>34340</v>
      </c>
      <c r="M426" s="259">
        <f t="shared" si="92"/>
        <v>0</v>
      </c>
      <c r="N426" s="259">
        <f t="shared" ref="N426:N430" ca="1" si="93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34340</v>
      </c>
      <c r="M428" s="52">
        <f t="shared" si="94"/>
        <v>0</v>
      </c>
      <c r="N428" s="52">
        <f t="shared" ca="1" si="93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IFERROR(__xludf.DUMMYFUNCTION("IMPORTRANGE(""https://docs.google.com/spreadsheets/d/1C3CXT74ZlgGe6_JY_1olB1XN4rF0dxEuIIF-xsYjHgg/edit?usp=sharing"",""งบกองทุน!dn75"")"),0)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IFERROR(__xludf.DUMMYFUNCTION("IMPORTRANGE(""https://docs.google.com/spreadsheets/d/1C3CXT74ZlgGe6_JY_1olB1XN4rF0dxEuIIF-xsYjHgg/edit?usp=sharing"",""งบกองทุน!do75"")"),34340)</f>
        <v>34340</v>
      </c>
      <c r="M430" s="52">
        <f>SUM(M431:M434)</f>
        <v>0</v>
      </c>
      <c r="N430" s="52">
        <f t="shared" ca="1" si="93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0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IFERROR(__xludf.DUMMYFUNCTION("IMPORTRANGE(""https://docs.google.com/spreadsheets/d/1C3CXT74ZlgGe6_JY_1olB1XN4rF0dxEuIIF-xsYjHgg/edit?usp=sharing"",""งบกองทุน!dq75"")"),22)</f>
        <v>22</v>
      </c>
      <c r="J440" s="67">
        <v>0</v>
      </c>
      <c r="K440" s="48">
        <f t="shared" ref="K440:K441" ca="1" si="95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IFERROR(__xludf.DUMMYFUNCTION("IMPORTRANGE(""https://docs.google.com/spreadsheets/d/1C3CXT74ZlgGe6_JY_1olB1XN4rF0dxEuIIF-xsYjHgg/edit?usp=sharing"",""งบกองทุน!dr75"")"),22)</f>
        <v>22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66"/>
      <c r="K445" s="232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66"/>
      <c r="K446" s="232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66"/>
      <c r="K447" s="232"/>
      <c r="L447" s="52">
        <f ca="1">IFERROR(__xludf.DUMMYFUNCTION("IMPORTRANGE(""https://docs.google.com/spreadsheets/d/1C3CXT74ZlgGe6_JY_1olB1XN4rF0dxEuIIF-xsYjHgg/edit?usp=sharing"",""งบกองทุน!dt75"")"),0)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66"/>
      <c r="K448" s="232"/>
      <c r="L448" s="52">
        <f ca="1">IFERROR(__xludf.DUMMYFUNCTION("IMPORTRANGE(""https://docs.google.com/spreadsheets/d/1C3CXT74ZlgGe6_JY_1olB1XN4rF0dxEuIIF-xsYjHgg/edit?usp=sharing"",""งบกองทุน!du75"")"),0)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IFERROR(__xludf.DUMMYFUNCTION("IMPORTRANGE(""https://docs.google.com/spreadsheets/d/1C3CXT74ZlgGe6_JY_1olB1XN4rF0dxEuIIF-xsYjHgg/edit?usp=sharing"",""งบกองทุน!dw75"")"),0)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IFERROR(__xludf.DUMMYFUNCTION("IMPORTRANGE(""https://docs.google.com/spreadsheets/d/1C3CXT74ZlgGe6_JY_1olB1XN4rF0dxEuIIF-xsYjHgg/edit?usp=sharing"",""งบกองทุน!dx75"")"),0)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IFERROR(__xludf.DUMMYFUNCTION("IMPORTRANGE(""https://docs.google.com/spreadsheets/d/1C3CXT74ZlgGe6_JY_1olB1XN4rF0dxEuIIF-xsYjHgg/edit?usp=sharing"",""งบกองทุน!dy75"")"),0)</f>
        <v>0</v>
      </c>
      <c r="J455" s="66">
        <v>0</v>
      </c>
      <c r="K455" s="232">
        <f t="shared" ca="1" si="100"/>
        <v>0</v>
      </c>
      <c r="L455" s="52"/>
      <c r="M455" s="52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IFERROR(__xludf.DUMMYFUNCTION("IMPORTRANGE(""https://docs.google.com/spreadsheets/d/1C3CXT74ZlgGe6_JY_1olB1XN4rF0dxEuIIF-xsYjHgg/edit?usp=sharing"",""งบกองทุน!dz75"")"),0)</f>
        <v>0</v>
      </c>
      <c r="J456" s="66">
        <v>0</v>
      </c>
      <c r="K456" s="232">
        <f t="shared" ca="1" si="100"/>
        <v>0</v>
      </c>
      <c r="L456" s="52"/>
      <c r="M456" s="52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3950</v>
      </c>
      <c r="J457" s="226">
        <f>+J466</f>
        <v>0</v>
      </c>
      <c r="K457" s="227">
        <f t="shared" ca="1" si="100"/>
        <v>0</v>
      </c>
      <c r="L457" s="228">
        <f t="shared" ref="L457:M457" ca="1" si="101">SUM(L458:L459)</f>
        <v>165600</v>
      </c>
      <c r="M457" s="228">
        <f t="shared" si="101"/>
        <v>0</v>
      </c>
      <c r="N457" s="228">
        <f t="shared" ref="N457:N461" ca="1" si="102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165600</v>
      </c>
      <c r="M459" s="52">
        <f t="shared" si="103"/>
        <v>0</v>
      </c>
      <c r="N459" s="52">
        <f t="shared" ca="1" si="102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IFERROR(__xludf.DUMMYFUNCTION("IMPORTRANGE(""https://docs.google.com/spreadsheets/d/1C3CXT74ZlgGe6_JY_1olB1XN4rF0dxEuIIF-xsYjHgg/edit?usp=sharing"",""งบกองทุน!Eb75"")"),0)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IFERROR(__xludf.DUMMYFUNCTION("IMPORTRANGE(""https://docs.google.com/spreadsheets/d/1C3CXT74ZlgGe6_JY_1olB1XN4rF0dxEuIIF-xsYjHgg/edit?usp=sharing"",""งบกองทุน!Ec75"")"),165600)</f>
        <v>165600</v>
      </c>
      <c r="M461" s="52">
        <f>SUM(M462:M465)</f>
        <v>0</v>
      </c>
      <c r="N461" s="52">
        <f t="shared" ca="1" si="102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IFERROR(__xludf.DUMMYFUNCTION("IMPORTRANGE(""https://docs.google.com/spreadsheets/d/1C3CXT74ZlgGe6_JY_1olB1XN4rF0dxEuIIF-xsYjHgg/edit?usp=sharing"",""งบกองทุน!Ed75"")"),3950)</f>
        <v>3950</v>
      </c>
      <c r="J466" s="265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0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213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370563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370563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IFERROR(__xludf.DUMMYFUNCTION("IMPORTRANGE(""https://docs.google.com/spreadsheets/d/1C3CXT74ZlgGe6_JY_1olB1XN4rF0dxEuIIF-xsYjHgg/edit?usp=sharing"",""งบกองทุน!Ek75"")"),0)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IFERROR(__xludf.DUMMYFUNCTION("IMPORTRANGE(""https://docs.google.com/spreadsheets/d/1C3CXT74ZlgGe6_JY_1olB1XN4rF0dxEuIIF-xsYjHgg/edit?usp=sharing"",""งบกองทุน!El75"")"),370563)</f>
        <v>370563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3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3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IFERROR(__xludf.DUMMYFUNCTION("IMPORTRANGE(""https://docs.google.com/spreadsheets/d/1C3CXT74ZlgGe6_JY_1olB1XN4rF0dxEuIIF-xsYjHgg/edit?usp=sharing"",""งบกองทุน!Em75"")"),213)</f>
        <v>213</v>
      </c>
      <c r="J482" s="66">
        <f ca="1">IFERROR(__xludf.DUMMYFUNCTION("IMPORTRANGE(""https://docs.google.com/spreadsheets/d/1AGHcLOeeYFL3K4b9R1dSzyJy00PE_ra89DNTVfnxSWM/edit?usp=sharing"",""รวมที่ชุมชน!G64"")"),1)</f>
        <v>1</v>
      </c>
      <c r="K482" s="48">
        <f t="shared" ref="K482:K489" ca="1" si="107">IF(I482&gt;0,J482*100/I482,0)</f>
        <v>0.46948356807511737</v>
      </c>
      <c r="L482" s="60"/>
      <c r="M482" s="60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IFERROR(__xludf.DUMMYFUNCTION("IMPORTRANGE(""https://docs.google.com/spreadsheets/d/1C3CXT74ZlgGe6_JY_1olB1XN4rF0dxEuIIF-xsYjHgg/edit?usp=sharing"",""งบกองทุน!En75"")"),0)</f>
        <v>0</v>
      </c>
      <c r="J483" s="66">
        <f ca="1">IFERROR(__xludf.DUMMYFUNCTION("IMPORTRANGE(""https://docs.google.com/spreadsheets/d/1AGHcLOeeYFL3K4b9R1dSzyJy00PE_ra89DNTVfnxSWM/edit?usp=sharing"",""รวมที่ชุมชน!H64"")"),0.21)</f>
        <v>0.21</v>
      </c>
      <c r="K483" s="200">
        <f t="shared" ca="1" si="107"/>
        <v>0</v>
      </c>
      <c r="L483" s="60"/>
      <c r="M483" s="60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IFERROR(__xludf.DUMMYFUNCTION("IMPORTRANGE(""https://docs.google.com/spreadsheets/d/1C3CXT74ZlgGe6_JY_1olB1XN4rF0dxEuIIF-xsYjHgg/edit?usp=sharing"",""งบกองทุน!Eo75"")"),213)</f>
        <v>213</v>
      </c>
      <c r="J484" s="66">
        <f ca="1">IFERROR(__xludf.DUMMYFUNCTION("IMPORTRANGE(""https://docs.google.com/spreadsheets/d/1AGHcLOeeYFL3K4b9R1dSzyJy00PE_ra89DNTVfnxSWM/edit?usp=sharing"",""รวมที่ชุมชน!J64"")"),0)</f>
        <v>0</v>
      </c>
      <c r="K484" s="48">
        <f t="shared" ca="1" si="107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IFERROR(__xludf.DUMMYFUNCTION("IMPORTRANGE(""https://docs.google.com/spreadsheets/d/1C3CXT74ZlgGe6_JY_1olB1XN4rF0dxEuIIF-xsYjHgg/edit?usp=sharing"",""งบกองทุน!Ep75"")"),0)</f>
        <v>0</v>
      </c>
      <c r="J485" s="66">
        <f ca="1">IFERROR(__xludf.DUMMYFUNCTION("IMPORTRANGE(""https://docs.google.com/spreadsheets/d/1AGHcLOeeYFL3K4b9R1dSzyJy00PE_ra89DNTVfnxSWM/edit?usp=sharing"",""รวมที่ชุมชน!L64"")"),0)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IFERROR(__xludf.DUMMYFUNCTION("IMPORTRANGE(""https://docs.google.com/spreadsheets/d/1C3CXT74ZlgGe6_JY_1olB1XN4rF0dxEuIIF-xsYjHgg/edit?usp=sharing"",""งบกองทุน!Eq75"")"),213)</f>
        <v>213</v>
      </c>
      <c r="J486" s="66">
        <f ca="1">IFERROR(__xludf.DUMMYFUNCTION("IMPORTRANGE(""https://docs.google.com/spreadsheets/d/1AGHcLOeeYFL3K4b9R1dSzyJy00PE_ra89DNTVfnxSWM/edit?usp=sharing"",""รวมที่ชุมชน!S64"")"),0)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IFERROR(__xludf.DUMMYFUNCTION("IMPORTRANGE(""https://docs.google.com/spreadsheets/d/1C3CXT74ZlgGe6_JY_1olB1XN4rF0dxEuIIF-xsYjHgg/edit?usp=sharing"",""งบกองทุน!Er75"")"),0)</f>
        <v>0</v>
      </c>
      <c r="J487" s="66">
        <f ca="1">IFERROR(__xludf.DUMMYFUNCTION("IMPORTRANGE(""https://docs.google.com/spreadsheets/d/1AGHcLOeeYFL3K4b9R1dSzyJy00PE_ra89DNTVfnxSWM/edit?usp=sharing"",""รวมที่ชุมชน!U64"")"),0)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IFERROR(__xludf.DUMMYFUNCTION("IMPORTRANGE(""https://docs.google.com/spreadsheets/d/1C3CXT74ZlgGe6_JY_1olB1XN4rF0dxEuIIF-xsYjHgg/edit?usp=sharing"",""งบกองทุน!Es75"")"),213)</f>
        <v>213</v>
      </c>
      <c r="J488" s="66">
        <f ca="1">IFERROR(__xludf.DUMMYFUNCTION("IMPORTRANGE(""https://docs.google.com/spreadsheets/d/1AGHcLOeeYFL3K4b9R1dSzyJy00PE_ra89DNTVfnxSWM/edit?usp=sharing"",""รวมที่ชุมชน!V64"")"),0)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IFERROR(__xludf.DUMMYFUNCTION("IMPORTRANGE(""https://docs.google.com/spreadsheets/d/1C3CXT74ZlgGe6_JY_1olB1XN4rF0dxEuIIF-xsYjHgg/edit?usp=sharing"",""งบกองทุน!Et75"")"),0)</f>
        <v>0</v>
      </c>
      <c r="J489" s="111">
        <f ca="1">IFERROR(__xludf.DUMMYFUNCTION("IMPORTRANGE(""https://docs.google.com/spreadsheets/d/1AGHcLOeeYFL3K4b9R1dSzyJy00PE_ra89DNTVfnxSWM/edit?usp=sharing"",""รวมที่ชุมชน!X64"")"),0)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100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12900</v>
      </c>
      <c r="M490" s="259">
        <f>SUM(M491:M492)</f>
        <v>0</v>
      </c>
      <c r="N490" s="259">
        <f t="shared" ref="N490:N494" ca="1" si="109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12900</v>
      </c>
      <c r="M492" s="52">
        <f t="shared" si="110"/>
        <v>0</v>
      </c>
      <c r="N492" s="52">
        <f t="shared" ca="1" si="109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IFERROR(__xludf.DUMMYFUNCTION("IMPORTRANGE(""https://docs.google.com/spreadsheets/d/1C3CXT74ZlgGe6_JY_1olB1XN4rF0dxEuIIF-xsYjHgg/edit?usp=sharing"",""งบกองทุน!Ev75"")"),0)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IFERROR(__xludf.DUMMYFUNCTION("IMPORTRANGE(""https://docs.google.com/spreadsheets/d/1C3CXT74ZlgGe6_JY_1olB1XN4rF0dxEuIIF-xsYjHgg/edit?usp=sharing"",""งบกองทุน!Ew75"")"),12900)</f>
        <v>12900</v>
      </c>
      <c r="M494" s="52">
        <f>SUM(M495:M498)</f>
        <v>0</v>
      </c>
      <c r="N494" s="52">
        <f t="shared" ca="1" si="109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IFERROR(__xludf.DUMMYFUNCTION("IMPORTRANGE(""https://docs.google.com/spreadsheets/d/1C3CXT74ZlgGe6_JY_1olB1XN4rF0dxEuIIF-xsYjHgg/edit?usp=sharing"",""งบกองทุน!EZ75"")"),100)</f>
        <v>100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IFERROR(__xludf.DUMMYFUNCTION("IMPORTRANGE(""https://docs.google.com/spreadsheets/d/1C3CXT74ZlgGe6_JY_1olB1XN4rF0dxEuIIF-xsYjHgg/edit?usp=sharing"",""งบกองทุน!ff75"")"),0)</f>
        <v>0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IFERROR(__xludf.DUMMYFUNCTION("IMPORTRANGE(""https://docs.google.com/spreadsheets/d/1muirlRDkqiswvy_NRZ3Yh955hx-PF6_HhssUYiSJj8o/edit?usp=sharing"",""กองทุน!D75"")"),8232665.41)</f>
        <v>8232665.4100000001</v>
      </c>
      <c r="J521" s="199">
        <f ca="1">IFERROR(__xludf.DUMMYFUNCTION("IMPORTRANGE(""https://docs.google.com/spreadsheets/d/1muirlRDkqiswvy_NRZ3Yh955hx-PF6_HhssUYiSJj8o/edit?usp=sharing"",""กองทุน!F75"")"),30000)</f>
        <v>30000</v>
      </c>
      <c r="K521" s="200">
        <f t="shared" ref="K521:K528" ca="1" si="116">IF(I521&gt;0,J521*100/I521,0)</f>
        <v>0.36440203149225275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IFERROR(__xludf.DUMMYFUNCTION("IMPORTRANGE(""https://docs.google.com/spreadsheets/d/1muirlRDkqiswvy_NRZ3Yh955hx-PF6_HhssUYiSJj8o/edit?usp=sharing"",""กองทุน!C75"")"),586)</f>
        <v>586</v>
      </c>
      <c r="J522" s="199">
        <f ca="1">IFERROR(__xludf.DUMMYFUNCTION("IMPORTRANGE(""https://docs.google.com/spreadsheets/d/1muirlRDkqiswvy_NRZ3Yh955hx-PF6_HhssUYiSJj8o/edit?usp=sharing"",""กองทุน!E75"")"),1)</f>
        <v>1</v>
      </c>
      <c r="K522" s="200">
        <f t="shared" ca="1" si="116"/>
        <v>0.17064846416382254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IFERROR(__xludf.DUMMYFUNCTION("IMPORTRANGE(""https://docs.google.com/spreadsheets/d/1muirlRDkqiswvy_NRZ3Yh955hx-PF6_HhssUYiSJj8o/edit?usp=sharing"",""กองทุน!I75"")"),5399272.15999999)</f>
        <v>5399272.1599999899</v>
      </c>
      <c r="J523" s="199">
        <f ca="1">IFERROR(__xludf.DUMMYFUNCTION("IMPORTRANGE(""https://docs.google.com/spreadsheets/d/1muirlRDkqiswvy_NRZ3Yh955hx-PF6_HhssUYiSJj8o/edit?usp=sharing"",""กองทุน!K75"")"),61918.68)</f>
        <v>61918.68</v>
      </c>
      <c r="K523" s="200">
        <f t="shared" ca="1" si="116"/>
        <v>1.146796793440398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IFERROR(__xludf.DUMMYFUNCTION("IMPORTRANGE(""https://docs.google.com/spreadsheets/d/1muirlRDkqiswvy_NRZ3Yh955hx-PF6_HhssUYiSJj8o/edit?usp=sharing"",""กองทุน!H75"")"),242)</f>
        <v>242</v>
      </c>
      <c r="J524" s="199">
        <f ca="1">IFERROR(__xludf.DUMMYFUNCTION("IMPORTRANGE(""https://docs.google.com/spreadsheets/d/1muirlRDkqiswvy_NRZ3Yh955hx-PF6_HhssUYiSJj8o/edit?usp=sharing"",""กองทุน!J75"")"),11)</f>
        <v>11</v>
      </c>
      <c r="K524" s="200">
        <f t="shared" ca="1" si="116"/>
        <v>4.5454545454545459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IFERROR(__xludf.DUMMYFUNCTION("IMPORTRANGE(""https://docs.google.com/spreadsheets/d/1muirlRDkqiswvy_NRZ3Yh955hx-PF6_HhssUYiSJj8o/edit?usp=sharing"",""กองทุน!N75"")"),0)</f>
        <v>0</v>
      </c>
      <c r="J525" s="199">
        <f ca="1">IFERROR(__xludf.DUMMYFUNCTION("IMPORTRANGE(""https://docs.google.com/spreadsheets/d/1muirlRDkqiswvy_NRZ3Yh955hx-PF6_HhssUYiSJj8o/edit?usp=sharing"",""กองทุน!P75"")"),0)</f>
        <v>0</v>
      </c>
      <c r="K525" s="200">
        <f t="shared" ca="1" si="116"/>
        <v>0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IFERROR(__xludf.DUMMYFUNCTION("IMPORTRANGE(""https://docs.google.com/spreadsheets/d/1muirlRDkqiswvy_NRZ3Yh955hx-PF6_HhssUYiSJj8o/edit?usp=sharing"",""กองทุน!M75"")"),0)</f>
        <v>0</v>
      </c>
      <c r="J526" s="199">
        <f ca="1">IFERROR(__xludf.DUMMYFUNCTION("IMPORTRANGE(""https://docs.google.com/spreadsheets/d/1muirlRDkqiswvy_NRZ3Yh955hx-PF6_HhssUYiSJj8o/edit?usp=sharing"",""กองทุน!O75"")"),0)</f>
        <v>0</v>
      </c>
      <c r="K526" s="200">
        <f t="shared" ca="1" si="116"/>
        <v>0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IFERROR(__xludf.DUMMYFUNCTION("IMPORTRANGE(""https://docs.google.com/spreadsheets/d/1muirlRDkqiswvy_NRZ3Yh955hx-PF6_HhssUYiSJj8o/edit?usp=sharing"",""กองทุน!S75"")"),10000000)</f>
        <v>10000000</v>
      </c>
      <c r="J527" s="199">
        <f ca="1">IFERROR(__xludf.DUMMYFUNCTION("IMPORTRANGE(""https://docs.google.com/spreadsheets/d/1muirlRDkqiswvy_NRZ3Yh955hx-PF6_HhssUYiSJj8o/edit?usp=sharing"",""กองทุน!U75"")"),0)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IFERROR(__xludf.DUMMYFUNCTION("IMPORTRANGE(""https://docs.google.com/spreadsheets/d/1muirlRDkqiswvy_NRZ3Yh955hx-PF6_HhssUYiSJj8o/edit?usp=sharing"",""กองทุน!R75"")"),250)</f>
        <v>250</v>
      </c>
      <c r="J528" s="324">
        <f ca="1">IFERROR(__xludf.DUMMYFUNCTION("IMPORTRANGE(""https://docs.google.com/spreadsheets/d/1muirlRDkqiswvy_NRZ3Yh955hx-PF6_HhssUYiSJj8o/edit?usp=sharing"",""กองทุน!T75"")"),0)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A5" sqref="A5:G5"/>
      <selection pane="bottomLeft" activeCell="A5" sqref="A5:G5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68" t="s">
        <v>0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</row>
    <row r="2" spans="1:14" ht="18" customHeight="1" x14ac:dyDescent="0.55000000000000004">
      <c r="A2" s="368" t="s">
        <v>242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</row>
    <row r="3" spans="1:14" ht="18" customHeight="1" x14ac:dyDescent="0.55000000000000004">
      <c r="A3" s="368" t="s">
        <v>247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70" t="s">
        <v>4</v>
      </c>
      <c r="B5" s="371"/>
      <c r="C5" s="371"/>
      <c r="D5" s="371"/>
      <c r="E5" s="371"/>
      <c r="F5" s="371"/>
      <c r="G5" s="372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1629220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IFERROR(__xludf.DUMMYFUNCTION("IMPORTRANGE(""https://docs.google.com/spreadsheets/d/1C3CXT74ZlgGe6_JY_1olB1XN4rF0dxEuIIF-xsYjHgg/edit?usp=sharing"",""พรบ!C76"")"),0)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66"/>
      <c r="K13" s="232"/>
      <c r="L13" s="52">
        <f ca="1">IFERROR(__xludf.DUMMYFUNCTION("IMPORTRANGE(""https://docs.google.com/spreadsheets/d/1C3CXT74ZlgGe6_JY_1olB1XN4rF0dxEuIIF-xsYjHgg/edit?usp=sharing"",""พรบ!D76"")"),0)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66"/>
      <c r="K14" s="232"/>
      <c r="L14" s="52">
        <f ca="1">IFERROR(__xludf.DUMMYFUNCTION("IMPORTRANGE(""https://docs.google.com/spreadsheets/d/1C3CXT74ZlgGe6_JY_1olB1XN4rF0dxEuIIF-xsYjHgg/edit?usp=sharing"",""พรบ!E76"")"),0)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28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IFERROR(__xludf.DUMMYFUNCTION("IMPORTRANGE(""https://docs.google.com/spreadsheets/d/1C3CXT74ZlgGe6_JY_1olB1XN4rF0dxEuIIF-xsYjHgg/edit?usp=sharing"",""พรบ!H76"")"),0)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IFERROR(__xludf.DUMMYFUNCTION("IMPORTRANGE(""https://docs.google.com/spreadsheets/d/1C3CXT74ZlgGe6_JY_1olB1XN4rF0dxEuIIF-xsYjHgg/edit?usp=sharing"",""พรบ!I76"")"),0)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IFERROR(__xludf.DUMMYFUNCTION("IMPORTRANGE(""https://docs.google.com/spreadsheets/d/1C3CXT74ZlgGe6_JY_1olB1XN4rF0dxEuIIF-xsYjHgg/edit?usp=sharing"",""พรบ!J76"")"),0)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IFERROR(__xludf.DUMMYFUNCTION("IMPORTRANGE(""https://docs.google.com/spreadsheets/d/1C3CXT74ZlgGe6_JY_1olB1XN4rF0dxEuIIF-xsYjHgg/edit?usp=sharing"",""พรบ!K76"")"),0)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IFERROR(__xludf.DUMMYFUNCTION("IMPORTRANGE(""https://docs.google.com/spreadsheets/d/1C3CXT74ZlgGe6_JY_1olB1XN4rF0dxEuIIF-xsYjHgg/edit?usp=sharing"",""พรบ!L76"")"),0)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IFERROR(__xludf.DUMMYFUNCTION("IMPORTRANGE(""https://docs.google.com/spreadsheets/d/1C3CXT74ZlgGe6_JY_1olB1XN4rF0dxEuIIF-xsYjHgg/edit?usp=sharing"",""พรบ!M76"")"),0)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IFERROR(__xludf.DUMMYFUNCTION("IMPORTRANGE(""https://docs.google.com/spreadsheets/d/1C3CXT74ZlgGe6_JY_1olB1XN4rF0dxEuIIF-xsYjHgg/edit?usp=sharing"",""พรบ!N76"")"),0)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6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122100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1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IFERROR(__xludf.DUMMYFUNCTION("IMPORTRANGE(""https://docs.google.com/spreadsheets/d/1C3CXT74ZlgGe6_JY_1olB1XN4rF0dxEuIIF-xsYjHgg/edit?usp=sharing"",""พรบ!O76"")"),122100)</f>
        <v>122100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IFERROR(__xludf.DUMMYFUNCTION("IMPORTRANGE(""https://docs.google.com/spreadsheets/d/1C3CXT74ZlgGe6_JY_1olB1XN4rF0dxEuIIF-xsYjHgg/edit?usp=sharing"",""พรบ!P76"")"),0)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47"/>
      <c r="K37" s="48"/>
      <c r="L37" s="52">
        <f ca="1">IFERROR(__xludf.DUMMYFUNCTION("IMPORTRANGE(""https://docs.google.com/spreadsheets/d/1C3CXT74ZlgGe6_JY_1olB1XN4rF0dxEuIIF-xsYjHgg/edit?usp=sharing"",""พรบ!Q76"")"),122100)</f>
        <v>122100</v>
      </c>
      <c r="M37" s="53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47"/>
      <c r="K38" s="48"/>
      <c r="L38" s="60"/>
      <c r="M38" s="60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7">
        <v>0</v>
      </c>
      <c r="K39" s="48"/>
      <c r="L39" s="60"/>
      <c r="M39" s="60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7">
        <v>0</v>
      </c>
      <c r="K40" s="48"/>
      <c r="L40" s="60" t="s">
        <v>21</v>
      </c>
      <c r="M40" s="60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7">
        <v>1</v>
      </c>
      <c r="K41" s="48"/>
      <c r="L41" s="60"/>
      <c r="M41" s="60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7">
        <v>1</v>
      </c>
      <c r="K42" s="48"/>
      <c r="L42" s="60"/>
      <c r="M42" s="60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IFERROR(__xludf.DUMMYFUNCTION("IMPORTRANGE(""https://docs.google.com/spreadsheets/d/1C3CXT74ZlgGe6_JY_1olB1XN4rF0dxEuIIF-xsYjHgg/edit?usp=sharing"",""พรบ!R76"")"),1)</f>
        <v>1</v>
      </c>
      <c r="J43" s="67">
        <v>0</v>
      </c>
      <c r="K43" s="48">
        <f t="shared" ref="K43:K48" ca="1" si="11">IF(I43&gt;0,J43*100/I43,0)</f>
        <v>0</v>
      </c>
      <c r="L43" s="60"/>
      <c r="M43" s="60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IFERROR(__xludf.DUMMYFUNCTION("IMPORTRANGE(""https://docs.google.com/spreadsheets/d/1C3CXT74ZlgGe6_JY_1olB1XN4rF0dxEuIIF-xsYjHgg/edit?usp=sharing"",""พรบ!S76"")"),4)</f>
        <v>4</v>
      </c>
      <c r="J44" s="67">
        <v>0</v>
      </c>
      <c r="K44" s="48">
        <f t="shared" ca="1" si="11"/>
        <v>0</v>
      </c>
      <c r="L44" s="60"/>
      <c r="M44" s="60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IFERROR(__xludf.DUMMYFUNCTION("IMPORTRANGE(""https://docs.google.com/spreadsheets/d/1C3CXT74ZlgGe6_JY_1olB1XN4rF0dxEuIIF-xsYjHgg/edit?usp=sharing"",""พรบ!T76"")"),4)</f>
        <v>4</v>
      </c>
      <c r="J45" s="67">
        <v>0</v>
      </c>
      <c r="K45" s="48">
        <f t="shared" ca="1" si="11"/>
        <v>0</v>
      </c>
      <c r="L45" s="60"/>
      <c r="M45" s="60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IFERROR(__xludf.DUMMYFUNCTION("IMPORTRANGE(""https://docs.google.com/spreadsheets/d/1C3CXT74ZlgGe6_JY_1olB1XN4rF0dxEuIIF-xsYjHgg/edit?usp=sharing"",""พรบ!U76"")"),4)</f>
        <v>4</v>
      </c>
      <c r="J46" s="67">
        <v>0</v>
      </c>
      <c r="K46" s="48">
        <f t="shared" ca="1" si="11"/>
        <v>0</v>
      </c>
      <c r="L46" s="60"/>
      <c r="M46" s="60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IFERROR(__xludf.DUMMYFUNCTION("IMPORTRANGE(""https://docs.google.com/spreadsheets/d/1C3CXT74ZlgGe6_JY_1olB1XN4rF0dxEuIIF-xsYjHgg/edit?usp=sharing"",""พรบ!V76"")"),4)</f>
        <v>4</v>
      </c>
      <c r="J47" s="67">
        <v>0</v>
      </c>
      <c r="K47" s="48">
        <f t="shared" ca="1" si="11"/>
        <v>0</v>
      </c>
      <c r="L47" s="60"/>
      <c r="M47" s="60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IFERROR(__xludf.DUMMYFUNCTION("IMPORTRANGE(""https://docs.google.com/spreadsheets/d/1C3CXT74ZlgGe6_JY_1olB1XN4rF0dxEuIIF-xsYjHgg/edit?usp=sharing"",""พรบ!W76"")"),1)</f>
        <v>1</v>
      </c>
      <c r="J48" s="67">
        <v>0</v>
      </c>
      <c r="K48" s="48">
        <f t="shared" ca="1" si="11"/>
        <v>0</v>
      </c>
      <c r="L48" s="60"/>
      <c r="M48" s="60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7"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84"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15</v>
      </c>
      <c r="J52" s="38">
        <f>+J62</f>
        <v>0</v>
      </c>
      <c r="K52" s="39">
        <f ca="1">IF(I52&gt;0,J52*100/I52,0)</f>
        <v>0</v>
      </c>
      <c r="L52" s="40">
        <f ca="1">L53+L54</f>
        <v>64890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64890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IFERROR(__xludf.DUMMYFUNCTION("IMPORTRANGE(""https://docs.google.com/spreadsheets/d/1C3CXT74ZlgGe6_JY_1olB1XN4rF0dxEuIIF-xsYjHgg/edit?usp=sharing"",""พรบ!Y76"")"),0)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47"/>
      <c r="K56" s="48"/>
      <c r="L56" s="52">
        <f ca="1">IFERROR(__xludf.DUMMYFUNCTION("IMPORTRANGE(""https://docs.google.com/spreadsheets/d/1C3CXT74ZlgGe6_JY_1olB1XN4rF0dxEuIIF-xsYjHgg/edit?usp=sharing"",""พรบ!Z76"")"),64890)</f>
        <v>64890</v>
      </c>
      <c r="M56" s="53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246</v>
      </c>
      <c r="E57" s="57"/>
      <c r="F57" s="57"/>
      <c r="G57" s="58"/>
      <c r="H57" s="59"/>
      <c r="I57" s="47"/>
      <c r="J57" s="47"/>
      <c r="K57" s="48"/>
      <c r="L57" s="60"/>
      <c r="M57" s="60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7">
        <v>0</v>
      </c>
      <c r="K58" s="48"/>
      <c r="L58" s="60"/>
      <c r="M58" s="60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7">
        <v>1</v>
      </c>
      <c r="K59" s="48"/>
      <c r="L59" s="60" t="s">
        <v>21</v>
      </c>
      <c r="M59" s="60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7">
        <v>1</v>
      </c>
      <c r="K60" s="48"/>
      <c r="L60" s="60"/>
      <c r="M60" s="60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7">
        <v>0</v>
      </c>
      <c r="K61" s="48"/>
      <c r="L61" s="60"/>
      <c r="M61" s="60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IFERROR(__xludf.DUMMYFUNCTION("IMPORTRANGE(""https://docs.google.com/spreadsheets/d/1C3CXT74ZlgGe6_JY_1olB1XN4rF0dxEuIIF-xsYjHgg/edit?usp=sharing"",""พรบ!AA76"")"),15)</f>
        <v>15</v>
      </c>
      <c r="J62" s="67">
        <v>0</v>
      </c>
      <c r="K62" s="48">
        <f t="shared" ref="K62:K63" ca="1" si="14">IF(I62&gt;0,J62*100/I62,0)</f>
        <v>0</v>
      </c>
      <c r="L62" s="60"/>
      <c r="M62" s="60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15</v>
      </c>
      <c r="J63" s="67">
        <v>0</v>
      </c>
      <c r="K63" s="48">
        <f t="shared" ca="1" si="14"/>
        <v>0</v>
      </c>
      <c r="L63" s="60"/>
      <c r="M63" s="60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7">
        <v>0</v>
      </c>
      <c r="K64" s="48"/>
      <c r="L64" s="60"/>
      <c r="M64" s="60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112">
        <v>0</v>
      </c>
      <c r="K65" s="113"/>
      <c r="L65" s="114"/>
      <c r="M65" s="114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15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374200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374200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IFERROR(__xludf.DUMMYFUNCTION("IMPORTRANGE(""https://docs.google.com/spreadsheets/d/1C3CXT74ZlgGe6_JY_1olB1XN4rF0dxEuIIF-xsYjHgg/edit?usp=sharing"",""พรบ!AD76"")"),301600)</f>
        <v>301600</v>
      </c>
      <c r="M72" s="53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72600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IFERROR(__xludf.DUMMYFUNCTION("IMPORTRANGE(""https://docs.google.com/spreadsheets/d/1C3CXT74ZlgGe6_JY_1olB1XN4rF0dxEuIIF-xsYjHgg/edit?usp=sharing"",""พรบ!AF76"")"),7500)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IFERROR(__xludf.DUMMYFUNCTION("IMPORTRANGE(""https://docs.google.com/spreadsheets/d/1C3CXT74ZlgGe6_JY_1olB1XN4rF0dxEuIIF-xsYjHgg/edit?usp=sharing"",""พรบ!AG76"")"),4)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3</v>
      </c>
      <c r="J89" s="149">
        <f t="shared" si="21"/>
        <v>0</v>
      </c>
      <c r="K89" s="150">
        <f ca="1">IF(I89&gt;0,J89*100/I89,0)</f>
        <v>0</v>
      </c>
      <c r="L89" s="147">
        <f ca="1">L90+L91</f>
        <v>42000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42000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IFERROR(__xludf.DUMMYFUNCTION("IMPORTRANGE(""https://docs.google.com/spreadsheets/d/1C3CXT74ZlgGe6_JY_1olB1XN4rF0dxEuIIF-xsYjHgg/edit?usp=sharing"",""พรบ!AH76"")"),42000)</f>
        <v>42000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1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1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IFERROR(__xludf.DUMMYFUNCTION("IMPORTRANGE(""https://docs.google.com/spreadsheets/d/1C3CXT74ZlgGe6_JY_1olB1XN4rF0dxEuIIF-xsYjHgg/edit?usp=sharing"",""พรบ!AI76"")"),3)</f>
        <v>3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IFERROR(__xludf.DUMMYFUNCTION("IMPORTRANGE(""https://docs.google.com/spreadsheets/d/1C3CXT74ZlgGe6_JY_1olB1XN4rF0dxEuIIF-xsYjHgg/edit?usp=sharing"",""กปร!C76"")"),36000)</f>
        <v>36000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IFERROR(__xludf.DUMMYFUNCTION("IMPORTRANGE(""https://docs.google.com/spreadsheets/d/1C3CXT74ZlgGe6_JY_1olB1XN4rF0dxEuIIF-xsYjHgg/edit?usp=sharing"",""พรบ!AJ76"")"),0)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IFERROR(__xludf.DUMMYFUNCTION("IMPORTRANGE(""https://docs.google.com/spreadsheets/d/1C3CXT74ZlgGe6_JY_1olB1XN4rF0dxEuIIF-xsYjHgg/edit?usp=sharing"",""พรบ!AK76"")"),0)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IFERROR(__xludf.DUMMYFUNCTION("IMPORTRANGE(""https://docs.google.com/spreadsheets/d/1C3CXT74ZlgGe6_JY_1olB1XN4rF0dxEuIIF-xsYjHgg/edit?usp=sharing"",""กปร!D76"")"),0)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IFERROR(__xludf.DUMMYFUNCTION("IMPORTRANGE(""https://docs.google.com/spreadsheets/d/1C3CXT74ZlgGe6_JY_1olB1XN4rF0dxEuIIF-xsYjHgg/edit?usp=sharing"",""พรบ!AL76"")"),0)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IFERROR(__xludf.DUMMYFUNCTION("IMPORTRANGE(""https://docs.google.com/spreadsheets/d/1C3CXT74ZlgGe6_JY_1olB1XN4rF0dxEuIIF-xsYjHgg/edit?usp=sharing"",""กปร!D76"")"),0)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6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12800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23100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23100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IFERROR(__xludf.DUMMYFUNCTION("IMPORTRANGE(""https://docs.google.com/spreadsheets/d/1C3CXT74ZlgGe6_JY_1olB1XN4rF0dxEuIIF-xsYjHgg/edit?usp=sharing"",""พรบ!AM76"")"),23100)</f>
        <v>23100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IFERROR(__xludf.DUMMYFUNCTION("IMPORTRANGE(""https://docs.google.com/spreadsheets/d/1C3CXT74ZlgGe6_JY_1olB1XN4rF0dxEuIIF-xsYjHgg/edit?usp=sharing"",""พรบ!AO76"")"),12800)</f>
        <v>12800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IFERROR(__xludf.DUMMYFUNCTION("IMPORTRANGE(""https://docs.google.com/spreadsheets/d/1C3CXT74ZlgGe6_JY_1olB1XN4rF0dxEuIIF-xsYjHgg/edit?usp=sharing"",""พรบ!AP76"")"),12800)</f>
        <v>12800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IFERROR(__xludf.DUMMYFUNCTION("IMPORTRANGE(""https://docs.google.com/spreadsheets/d/1C3CXT74ZlgGe6_JY_1olB1XN4rF0dxEuIIF-xsYjHgg/edit?usp=sharing"",""กปร!F76"")"),4100)</f>
        <v>4100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IFERROR(__xludf.DUMMYFUNCTION("IMPORTRANGE(""https://docs.google.com/spreadsheets/d/1C3CXT74ZlgGe6_JY_1olB1XN4rF0dxEuIIF-xsYjHgg/edit?usp=sharing"",""พรบ!AQ76"")"),15)</f>
        <v>15</v>
      </c>
      <c r="J126" s="67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IFERROR(__xludf.DUMMYFUNCTION("IMPORTRANGE(""https://docs.google.com/spreadsheets/d/1C3CXT74ZlgGe6_JY_1olB1XN4rF0dxEuIIF-xsYjHgg/edit?usp=sharing"",""กปร!G76"")"),15000)</f>
        <v>15000</v>
      </c>
      <c r="M126" s="361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IFERROR(__xludf.DUMMYFUNCTION("IMPORTRANGE(""https://docs.google.com/spreadsheets/d/1C3CXT74ZlgGe6_JY_1olB1XN4rF0dxEuIIF-xsYjHgg/edit?usp=sharing"",""พรบ!AR76"")"),0)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IFERROR(__xludf.DUMMYFUNCTION("IMPORTRANGE(""https://docs.google.com/spreadsheets/d/1C3CXT74ZlgGe6_JY_1olB1XN4rF0dxEuIIF-xsYjHgg/edit?usp=sharing"",""พรบ!AS76"")"),0)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IFERROR(__xludf.DUMMYFUNCTION("IMPORTRANGE(""https://docs.google.com/spreadsheets/d/1C3CXT74ZlgGe6_JY_1olB1XN4rF0dxEuIIF-xsYjHgg/edit?usp=sharing"",""กปร!H76"")"),0)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IFERROR(__xludf.DUMMYFUNCTION("IMPORTRANGE(""https://docs.google.com/spreadsheets/d/1C3CXT74ZlgGe6_JY_1olB1XN4rF0dxEuIIF-xsYjHgg/edit?usp=sharing"",""พรบ!AT76"")"),0)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IFERROR(__xludf.DUMMYFUNCTION("IMPORTRANGE(""https://docs.google.com/spreadsheets/d/1C3CXT74ZlgGe6_JY_1olB1XN4rF0dxEuIIF-xsYjHgg/edit?usp=sharing"",""กปร!I76"")"),0)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IFERROR(__xludf.DUMMYFUNCTION("IMPORTRANGE(""https://docs.google.com/spreadsheets/d/1C3CXT74ZlgGe6_JY_1olB1XN4rF0dxEuIIF-xsYjHgg/edit?usp=sharing"",""พรบ!AU76"")"),0)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IFERROR(__xludf.DUMMYFUNCTION("IMPORTRANGE(""https://docs.google.com/spreadsheets/d/1C3CXT74ZlgGe6_JY_1olB1XN4rF0dxEuIIF-xsYjHgg/edit?usp=sharing"",""กปร!J76"")"),0)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7">
        <v>0</v>
      </c>
      <c r="K143" s="358"/>
      <c r="L143" s="359"/>
      <c r="M143" s="359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14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20210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20210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IFERROR(__xludf.DUMMYFUNCTION("IMPORTRANGE(""https://docs.google.com/spreadsheets/d/1C3CXT74ZlgGe6_JY_1olB1XN4rF0dxEuIIF-xsYjHgg/edit?usp=sharing"",""พรบ!AY76"")"),20210)</f>
        <v>20210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14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IFERROR(__xludf.DUMMYFUNCTION("IMPORTRANGE(""https://docs.google.com/spreadsheets/d/1C3CXT74ZlgGe6_JY_1olB1XN4rF0dxEuIIF-xsYjHgg/edit?usp=sharing"",""พรบ!BA76"")"),14)</f>
        <v>14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20</v>
      </c>
      <c r="J169" s="177">
        <f>+J180</f>
        <v>0</v>
      </c>
      <c r="K169" s="178">
        <f ca="1">IF(I169&gt;0,J169*100/I169,0)</f>
        <v>0</v>
      </c>
      <c r="L169" s="179">
        <f ca="1">L170+L171</f>
        <v>181400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181400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47"/>
      <c r="K172" s="48"/>
      <c r="L172" s="52">
        <f ca="1">IFERROR(__xludf.DUMMYFUNCTION("IMPORTRANGE(""https://docs.google.com/spreadsheets/d/1C3CXT74ZlgGe6_JY_1olB1XN4rF0dxEuIIF-xsYjHgg/edit?usp=sharing"",""พรบ!BD76"")"),0)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47"/>
      <c r="K173" s="48"/>
      <c r="L173" s="52">
        <f ca="1">IFERROR(__xludf.DUMMYFUNCTION("IMPORTRANGE(""https://docs.google.com/spreadsheets/d/1C3CXT74ZlgGe6_JY_1olB1XN4rF0dxEuIIF-xsYjHgg/edit?usp=sharing"",""พรบ!BE76"")"),181400)</f>
        <v>181400</v>
      </c>
      <c r="M173" s="53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v>0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v>0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v>1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v>1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IFERROR(__xludf.DUMMYFUNCTION("IMPORTRANGE(""https://docs.google.com/spreadsheets/d/1C3CXT74ZlgGe6_JY_1olB1XN4rF0dxEuIIF-xsYjHgg/edit?usp=sharing"",""พรบ!BF76"")"),1)</f>
        <v>1</v>
      </c>
      <c r="J179" s="67">
        <v>0</v>
      </c>
      <c r="K179" s="48">
        <f t="shared" ref="K179:K182" ca="1" si="41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IFERROR(__xludf.DUMMYFUNCTION("IMPORTRANGE(""https://docs.google.com/spreadsheets/d/1C3CXT74ZlgGe6_JY_1olB1XN4rF0dxEuIIF-xsYjHgg/edit?usp=sharing"",""พรบ!BG76"")"),20)</f>
        <v>20</v>
      </c>
      <c r="J180" s="67">
        <v>0</v>
      </c>
      <c r="K180" s="48">
        <f t="shared" ca="1" si="41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IFERROR(__xludf.DUMMYFUNCTION("IMPORTRANGE(""https://docs.google.com/spreadsheets/d/1C3CXT74ZlgGe6_JY_1olB1XN4rF0dxEuIIF-xsYjHgg/edit?usp=sharing"",""พรบ!BH76"")"),20)</f>
        <v>20</v>
      </c>
      <c r="J181" s="67">
        <v>0</v>
      </c>
      <c r="K181" s="48">
        <f t="shared" ca="1" si="41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IFERROR(__xludf.DUMMYFUNCTION("IMPORTRANGE(""https://docs.google.com/spreadsheets/d/1C3CXT74ZlgGe6_JY_1olB1XN4rF0dxEuIIF-xsYjHgg/edit?usp=sharing"",""พรบ!BI76"")"),1)</f>
        <v>1</v>
      </c>
      <c r="J182" s="67">
        <v>0</v>
      </c>
      <c r="K182" s="48">
        <f t="shared" ca="1" si="41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v>0</v>
      </c>
      <c r="K183" s="48"/>
      <c r="L183" s="60"/>
      <c r="M183" s="60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112">
        <v>0</v>
      </c>
      <c r="K184" s="113"/>
      <c r="L184" s="114"/>
      <c r="M184" s="114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15</v>
      </c>
      <c r="J185" s="177">
        <f>+J195</f>
        <v>0</v>
      </c>
      <c r="K185" s="178">
        <f ca="1">IF(I185&gt;0,J185*100/I185,0)</f>
        <v>0</v>
      </c>
      <c r="L185" s="179">
        <f ca="1">L186+L187</f>
        <v>55200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55200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IFERROR(__xludf.DUMMYFUNCTION("IMPORTRANGE(""https://docs.google.com/spreadsheets/d/1C3CXT74ZlgGe6_JY_1olB1XN4rF0dxEuIIF-xsYjHgg/edit?usp=sharing"",""พรบ!BK76"")"),0)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IFERROR(__xludf.DUMMYFUNCTION("IMPORTRANGE(""https://docs.google.com/spreadsheets/d/1C3CXT74ZlgGe6_JY_1olB1XN4rF0dxEuIIF-xsYjHgg/edit?usp=sharing"",""พรบ!BL76"")"),55200)</f>
        <v>55200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0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0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1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1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IFERROR(__xludf.DUMMYFUNCTION("IMPORTRANGE(""https://docs.google.com/spreadsheets/d/1C3CXT74ZlgGe6_JY_1olB1XN4rF0dxEuIIF-xsYjHgg/edit?usp=sharing"",""พรบ!BM76"")"),15)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IFERROR(__xludf.DUMMYFUNCTION("IMPORTRANGE(""https://docs.google.com/spreadsheets/d/1C3CXT74ZlgGe6_JY_1olB1XN4rF0dxEuIIF-xsYjHgg/edit?usp=sharing"",""พรบ!BP76"")"),0)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IFERROR(__xludf.DUMMYFUNCTION("IMPORTRANGE(""https://docs.google.com/spreadsheets/d/1C3CXT74ZlgGe6_JY_1olB1XN4rF0dxEuIIF-xsYjHgg/edit?usp=sharing"",""พรบ!BQ76"")"),0)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IFERROR(__xludf.DUMMYFUNCTION("IMPORTRANGE(""https://docs.google.com/spreadsheets/d/1C3CXT74ZlgGe6_JY_1olB1XN4rF0dxEuIIF-xsYjHgg/edit?usp=sharing"",""พรบ!BR76"")"),0)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IFERROR(__xludf.DUMMYFUNCTION("IMPORTRANGE(""https://docs.google.com/spreadsheets/d/1C3CXT74ZlgGe6_JY_1olB1XN4rF0dxEuIIF-xsYjHgg/edit?usp=sharing"",""พรบ!BU76"")"),0)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IFERROR(__xludf.DUMMYFUNCTION("IMPORTRANGE(""https://docs.google.com/spreadsheets/d/1C3CXT74ZlgGe6_JY_1olB1XN4rF0dxEuIIF-xsYjHgg/edit?usp=sharing"",""พรบ!BV76"")"),0)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150</v>
      </c>
      <c r="J228" s="197">
        <f ca="1">J240</f>
        <v>11</v>
      </c>
      <c r="K228" s="178">
        <f ca="1">IF(I228&gt;0,J228*100/I228,0)</f>
        <v>7.333333333333333</v>
      </c>
      <c r="L228" s="179">
        <f ca="1">L229+L230</f>
        <v>811220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811220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IFERROR(__xludf.DUMMYFUNCTION("IMPORTRANGE(""https://docs.google.com/spreadsheets/d/1C3CXT74ZlgGe6_JY_1olB1XN4rF0dxEuIIF-xsYjHgg/edit?usp=sharing"",""พรบ!BX76"")"),471600)</f>
        <v>471600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IFERROR(__xludf.DUMMYFUNCTION("IMPORTRANGE(""https://docs.google.com/spreadsheets/d/1C3CXT74ZlgGe6_JY_1olB1XN4rF0dxEuIIF-xsYjHgg/edit?usp=sharing"",""พรบ!BY76"")"),339620)</f>
        <v>339620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IFERROR(__xludf.DUMMYFUNCTION("IMPORTRANGE(""https://docs.google.com/spreadsheets/d/1AGHcLOeeYFL3K4b9R1dSzyJy00PE_ra89DNTVfnxSWM/edit?usp=sharing"",""รวมที่ทำกิน!J65"")"),0)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IFERROR(__xludf.DUMMYFUNCTION("IMPORTRANGE(""https://docs.google.com/spreadsheets/d/1C3CXT74ZlgGe6_JY_1olB1XN4rF0dxEuIIF-xsYjHgg/edit?usp=sharing"",""พรบ!BZ76"")"),1640)</f>
        <v>1640</v>
      </c>
      <c r="J235" s="66">
        <f ca="1">IFERROR(__xludf.DUMMYFUNCTION("IMPORTRANGE(""https://docs.google.com/spreadsheets/d/1AGHcLOeeYFL3K4b9R1dSzyJy00PE_ra89DNTVfnxSWM/edit?usp=sharing"",""รวมที่ทำกิน!L65"")"),0)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IFERROR(__xludf.DUMMYFUNCTION("IMPORTRANGE(""https://docs.google.com/spreadsheets/d/1C3CXT74ZlgGe6_JY_1olB1XN4rF0dxEuIIF-xsYjHgg/edit?usp=sharing"",""พรบ!CA76"")"),150)</f>
        <v>150</v>
      </c>
      <c r="J236" s="66">
        <f ca="1">IFERROR(__xludf.DUMMYFUNCTION("IMPORTRANGE(""https://docs.google.com/spreadsheets/d/1AGHcLOeeYFL3K4b9R1dSzyJy00PE_ra89DNTVfnxSWM/edit?usp=sharing"",""รวมที่ทำกิน!O65"")"),11)</f>
        <v>11</v>
      </c>
      <c r="K236" s="200">
        <f t="shared" ca="1" si="52"/>
        <v>7.333333333333333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IFERROR(__xludf.DUMMYFUNCTION("IMPORTRANGE(""https://docs.google.com/spreadsheets/d/1AGHcLOeeYFL3K4b9R1dSzyJy00PE_ra89DNTVfnxSWM/edit?usp=sharing"",""รวมที่ทำกิน!Q65"")"),221.68)</f>
        <v>221.68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IFERROR(__xludf.DUMMYFUNCTION("IMPORTRANGE(""https://docs.google.com/spreadsheets/d/1C3CXT74ZlgGe6_JY_1olB1XN4rF0dxEuIIF-xsYjHgg/edit?usp=sharing"",""พรบ!CB76"")"),150)</f>
        <v>150</v>
      </c>
      <c r="J238" s="66">
        <f ca="1">IFERROR(__xludf.DUMMYFUNCTION("IMPORTRANGE(""https://docs.google.com/spreadsheets/d/1AGHcLOeeYFL3K4b9R1dSzyJy00PE_ra89DNTVfnxSWM/edit?usp=sharing"",""รวมที่ทำกิน!S65"")"),0)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IFERROR(__xludf.DUMMYFUNCTION("IMPORTRANGE(""https://docs.google.com/spreadsheets/d/1AGHcLOeeYFL3K4b9R1dSzyJy00PE_ra89DNTVfnxSWM/edit?usp=sharing"",""รวมที่ทำกิน!U65"")"),0)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IFERROR(__xludf.DUMMYFUNCTION("IMPORTRANGE(""https://docs.google.com/spreadsheets/d/1C3CXT74ZlgGe6_JY_1olB1XN4rF0dxEuIIF-xsYjHgg/edit?usp=sharing"",""พรบ!CC76"")"),150)</f>
        <v>150</v>
      </c>
      <c r="J240" s="66">
        <f ca="1">IFERROR(__xludf.DUMMYFUNCTION("IMPORTRANGE(""https://docs.google.com/spreadsheets/d/1AGHcLOeeYFL3K4b9R1dSzyJy00PE_ra89DNTVfnxSWM/edit?usp=sharing"",""รวมที่ทำกิน!W65"")"),11)</f>
        <v>11</v>
      </c>
      <c r="K240" s="200">
        <f t="shared" ca="1" si="52"/>
        <v>7.333333333333333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IFERROR(__xludf.DUMMYFUNCTION("IMPORTRANGE(""https://docs.google.com/spreadsheets/d/1AGHcLOeeYFL3K4b9R1dSzyJy00PE_ra89DNTVfnxSWM/edit?usp=sharing"",""รวมที่ทำกิน!Y65"")"),221.68)</f>
        <v>221.68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1313814</v>
      </c>
      <c r="M242" s="213">
        <f t="shared" si="53"/>
        <v>0</v>
      </c>
      <c r="N242" s="213">
        <f ca="1">+IF(L242&gt;0,M242*100/L242,0)</f>
        <v>0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60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93120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20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93120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IFERROR(__xludf.DUMMYFUNCTION("IMPORTRANGE(""https://docs.google.com/spreadsheets/d/1C3CXT74ZlgGe6_JY_1olB1XN4rF0dxEuIIF-xsYjHgg/edit?usp=sharing"",""งบกองทุน!d76"")"),0)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IFERROR(__xludf.DUMMYFUNCTION("IMPORTRANGE(""https://docs.google.com/spreadsheets/d/1C3CXT74ZlgGe6_JY_1olB1XN4rF0dxEuIIF-xsYjHgg/edit?usp=sharing"",""งบกองทุน!e76"")"),93120)</f>
        <v>93120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0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0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IFERROR(__xludf.DUMMYFUNCTION("IMPORTRANGE(""https://docs.google.com/spreadsheets/d/1C3CXT74ZlgGe6_JY_1olB1XN4rF0dxEuIIF-xsYjHgg/edit?usp=sharing"",""งบกองทุน!f76"")"),0)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60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IFERROR(__xludf.DUMMYFUNCTION("IMPORTRANGE(""https://docs.google.com/spreadsheets/d/1C3CXT74ZlgGe6_JY_1olB1XN4rF0dxEuIIF-xsYjHgg/edit?usp=sharing"",""งบกองทุน!H76"")"),20)</f>
        <v>20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IFERROR(__xludf.DUMMYFUNCTION("IMPORTRANGE(""https://docs.google.com/spreadsheets/d/1C3CXT74ZlgGe6_JY_1olB1XN4rF0dxEuIIF-xsYjHgg/edit?usp=sharing"",""งบกองทุน!i76"")"),60)</f>
        <v>60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20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IFERROR(__xludf.DUMMYFUNCTION("IMPORTRANGE(""https://docs.google.com/spreadsheets/d/1C3CXT74ZlgGe6_JY_1olB1XN4rF0dxEuIIF-xsYjHgg/edit?usp=sharing"",""งบกองทุน!k76"")"),0)</f>
        <v>0</v>
      </c>
      <c r="J266" s="66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20</v>
      </c>
      <c r="J267" s="66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IFERROR(__xludf.DUMMYFUNCTION("IMPORTRANGE(""https://docs.google.com/spreadsheets/d/1C3CXT74ZlgGe6_JY_1olB1XN4rF0dxEuIIF-xsYjHgg/edit?usp=sharing"",""งบกองทุน!m76"")"),0)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60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IFERROR(__xludf.DUMMYFUNCTION("IMPORTRANGE(""https://docs.google.com/spreadsheets/d/1C3CXT74ZlgGe6_JY_1olB1XN4rF0dxEuIIF-xsYjHgg/edit?usp=sharing"",""งบกองทุน!o76"")"),0)</f>
        <v>0</v>
      </c>
      <c r="J271" s="66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IFERROR(__xludf.DUMMYFUNCTION("IMPORTRANGE(""https://docs.google.com/spreadsheets/d/1C3CXT74ZlgGe6_JY_1olB1XN4rF0dxEuIIF-xsYjHgg/edit?usp=sharing"",""งบกองทุน!p76"")"),60)</f>
        <v>60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200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207560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20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207560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IFERROR(__xludf.DUMMYFUNCTION("IMPORTRANGE(""https://docs.google.com/spreadsheets/d/1C3CXT74ZlgGe6_JY_1olB1XN4rF0dxEuIIF-xsYjHgg/edit?usp=sharing"",""งบกองทุน!r76"")"),0)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IFERROR(__xludf.DUMMYFUNCTION("IMPORTRANGE(""https://docs.google.com/spreadsheets/d/1C3CXT74ZlgGe6_JY_1olB1XN4rF0dxEuIIF-xsYjHgg/edit?usp=sharing"",""งบกองทุน!s76"")"),207560)</f>
        <v>207560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0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IFERROR(__xludf.DUMMYFUNCTION("IMPORTRANGE(""https://docs.google.com/spreadsheets/d/1C3CXT74ZlgGe6_JY_1olB1XN4rF0dxEuIIF-xsYjHgg/edit?usp=sharing"",""งบกองทุน!v76"")"),20)</f>
        <v>20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IFERROR(__xludf.DUMMYFUNCTION("IMPORTRANGE(""https://docs.google.com/spreadsheets/d/1C3CXT74ZlgGe6_JY_1olB1XN4rF0dxEuIIF-xsYjHgg/edit?usp=sharing"",""งบกองทุน!w76"")"),200)</f>
        <v>200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IFERROR(__xludf.DUMMYFUNCTION("IMPORTRANGE(""https://docs.google.com/spreadsheets/d/1C3CXT74ZlgGe6_JY_1olB1XN4rF0dxEuIIF-xsYjHgg/edit?usp=sharing"",""งบกองทุน!x76"")"),20)</f>
        <v>20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90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101920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30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101920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IFERROR(__xludf.DUMMYFUNCTION("IMPORTRANGE(""https://docs.google.com/spreadsheets/d/1C3CXT74ZlgGe6_JY_1olB1XN4rF0dxEuIIF-xsYjHgg/edit?usp=sharing"",""งบกองทุน!z76"")"),0)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IFERROR(__xludf.DUMMYFUNCTION("IMPORTRANGE(""https://docs.google.com/spreadsheets/d/1C3CXT74ZlgGe6_JY_1olB1XN4rF0dxEuIIF-xsYjHgg/edit?usp=sharing"",""งบกองทุน!aa76"")"),101920)</f>
        <v>101920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30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IFERROR(__xludf.DUMMYFUNCTION("IMPORTRANGE(""https://docs.google.com/spreadsheets/d/1C3CXT74ZlgGe6_JY_1olB1XN4rF0dxEuIIF-xsYjHgg/edit?usp=sharing"",""งบกองทุน!ae76"")"),0)</f>
        <v>0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IFERROR(__xludf.DUMMYFUNCTION("IMPORTRANGE(""https://docs.google.com/spreadsheets/d/1C3CXT74ZlgGe6_JY_1olB1XN4rF0dxEuIIF-xsYjHgg/edit?usp=sharing"",""งบกองทุน!ad76"")"),0)</f>
        <v>0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IFERROR(__xludf.DUMMYFUNCTION("IMPORTRANGE(""https://docs.google.com/spreadsheets/d/1C3CXT74ZlgGe6_JY_1olB1XN4rF0dxEuIIF-xsYjHgg/edit?usp=sharing"",""งบกองทุน!af76"")"),0)</f>
        <v>0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IFERROR(__xludf.DUMMYFUNCTION("IMPORTRANGE(""https://docs.google.com/spreadsheets/d/1C3CXT74ZlgGe6_JY_1olB1XN4rF0dxEuIIF-xsYjHgg/edit?usp=sharing"",""งบกองทุน!ag76"")"),0)</f>
        <v>0</v>
      </c>
      <c r="J315" s="247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IFERROR(__xludf.DUMMYFUNCTION("IMPORTRANGE(""https://docs.google.com/spreadsheets/d/1C3CXT74ZlgGe6_JY_1olB1XN4rF0dxEuIIF-xsYjHgg/edit?usp=sharing"",""งบกองทุน!ai76"")"),20)</f>
        <v>20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IFERROR(__xludf.DUMMYFUNCTION("IMPORTRANGE(""https://docs.google.com/spreadsheets/d/1C3CXT74ZlgGe6_JY_1olB1XN4rF0dxEuIIF-xsYjHgg/edit?usp=sharing"",""งบกองทุน!ah76"")"),60)</f>
        <v>60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IFERROR(__xludf.DUMMYFUNCTION("IMPORTRANGE(""https://docs.google.com/spreadsheets/d/1C3CXT74ZlgGe6_JY_1olB1XN4rF0dxEuIIF-xsYjHgg/edit?usp=sharing"",""งบกองทุน!aj76"")"),20)</f>
        <v>20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IFERROR(__xludf.DUMMYFUNCTION("IMPORTRANGE(""https://docs.google.com/spreadsheets/d/1C3CXT74ZlgGe6_JY_1olB1XN4rF0dxEuIIF-xsYjHgg/edit?usp=sharing"",""งบกองทุน!ak76"")"),20)</f>
        <v>20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IFERROR(__xludf.DUMMYFUNCTION("IMPORTRANGE(""https://docs.google.com/spreadsheets/d/1C3CXT74ZlgGe6_JY_1olB1XN4rF0dxEuIIF-xsYjHgg/edit?usp=sharing"",""งบกองทุน!al76"")"),20)</f>
        <v>20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IFERROR(__xludf.DUMMYFUNCTION("IMPORTRANGE(""https://docs.google.com/spreadsheets/d/1C3CXT74ZlgGe6_JY_1olB1XN4rF0dxEuIIF-xsYjHgg/edit?usp=sharing"",""งบกองทุน!an76"")"),10)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IFERROR(__xludf.DUMMYFUNCTION("IMPORTRANGE(""https://docs.google.com/spreadsheets/d/1C3CXT74ZlgGe6_JY_1olB1XN4rF0dxEuIIF-xsYjHgg/edit?usp=sharing"",""งบกองทุน!am76"")"),30)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IFERROR(__xludf.DUMMYFUNCTION("IMPORTRANGE(""https://docs.google.com/spreadsheets/d/1C3CXT74ZlgGe6_JY_1olB1XN4rF0dxEuIIF-xsYjHgg/edit?usp=sharing"",""งบกองทุน!ao76"")"),10)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IFERROR(__xludf.DUMMYFUNCTION("IMPORTRANGE(""https://docs.google.com/spreadsheets/d/1C3CXT74ZlgGe6_JY_1olB1XN4rF0dxEuIIF-xsYjHgg/edit?usp=sharing"",""งบกองทุน!ap76"")"),10)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20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IFERROR(__xludf.DUMMYFUNCTION("IMPORTRANGE(""https://docs.google.com/spreadsheets/d/1C3CXT74ZlgGe6_JY_1olB1XN4rF0dxEuIIF-xsYjHgg/edit?usp=sharing"",""งบกองทุน!ar76"")"),0)</f>
        <v>0</v>
      </c>
      <c r="J326" s="66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IFERROR(__xludf.DUMMYFUNCTION("IMPORTRANGE(""https://docs.google.com/spreadsheets/d/1C3CXT74ZlgGe6_JY_1olB1XN4rF0dxEuIIF-xsYjHgg/edit?usp=sharing"",""งบกองทุน!as76"")"),20)</f>
        <v>20</v>
      </c>
      <c r="J327" s="66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15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83000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83000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IFERROR(__xludf.DUMMYFUNCTION("IMPORTRANGE(""https://docs.google.com/spreadsheets/d/1C3CXT74ZlgGe6_JY_1olB1XN4rF0dxEuIIF-xsYjHgg/edit?usp=sharing"",""งบกองทุน!au76"")"),0)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IFERROR(__xludf.DUMMYFUNCTION("IMPORTRANGE(""https://docs.google.com/spreadsheets/d/1C3CXT74ZlgGe6_JY_1olB1XN4rF0dxEuIIF-xsYjHgg/edit?usp=sharing"",""งบกองทุน!av76"")"),83000)</f>
        <v>83000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15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IFERROR(__xludf.DUMMYFUNCTION("IMPORTRANGE(""https://docs.google.com/spreadsheets/d/1C3CXT74ZlgGe6_JY_1olB1XN4rF0dxEuIIF-xsYjHgg/edit?usp=sharing"",""งบกองทุน!ay76"")"),15)</f>
        <v>15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IFERROR(__xludf.DUMMYFUNCTION("IMPORTRANGE(""https://docs.google.com/spreadsheets/d/1C3CXT74ZlgGe6_JY_1olB1XN4rF0dxEuIIF-xsYjHgg/edit?usp=sharing"",""งบกองทุน!az76"")"),0)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IFERROR(__xludf.DUMMYFUNCTION("IMPORTRANGE(""https://docs.google.com/spreadsheets/d/1C3CXT74ZlgGe6_JY_1olB1XN4rF0dxEuIIF-xsYjHgg/edit?usp=sharing"",""งบกองทุน!Ba76"")"),0)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4739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285044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285044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IFERROR(__xludf.DUMMYFUNCTION("IMPORTRANGE(""https://docs.google.com/spreadsheets/d/1C3CXT74ZlgGe6_JY_1olB1XN4rF0dxEuIIF-xsYjHgg/edit?usp=sharing"",""งบกองทุน!Bc76"")"),0)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IFERROR(__xludf.DUMMYFUNCTION("IMPORTRANGE(""https://docs.google.com/spreadsheets/d/1C3CXT74ZlgGe6_JY_1olB1XN4rF0dxEuIIF-xsYjHgg/edit?usp=sharing"",""งบกองทุน!Bd76"")"),285044)</f>
        <v>285044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IFERROR(__xludf.DUMMYFUNCTION("IMPORTRANGE(""https://docs.google.com/spreadsheets/d/1C3CXT74ZlgGe6_JY_1olB1XN4rF0dxEuIIF-xsYjHgg/edit?usp=sharing"",""งบกองทุน!BE76"")"),4739)</f>
        <v>4739</v>
      </c>
      <c r="J359" s="136">
        <f>+J376</f>
        <v>0</v>
      </c>
      <c r="K359" s="137">
        <f t="shared" ref="K359:K425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IFERROR(__xludf.DUMMYFUNCTION("IMPORTRANGE(""https://docs.google.com/spreadsheets/d/1C3CXT74ZlgGe6_JY_1olB1XN4rF0dxEuIIF-xsYjHgg/edit?usp=sharing"",""งบกองทุน!BE76"")"),4739)</f>
        <v>4739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IFERROR(__xludf.DUMMYFUNCTION("IMPORTRANGE(""https://docs.google.com/spreadsheets/d/1C3CXT74ZlgGe6_JY_1olB1XN4rF0dxEuIIF-xsYjHgg/edit?usp=sharing"",""งบกองทุน!Bf76"")"),856)</f>
        <v>856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4739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265">
        <f ca="1">I361</f>
        <v>856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4739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265">
        <f ca="1">I361</f>
        <v>856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IFERROR(__xludf.DUMMYFUNCTION("IMPORTRANGE(""https://docs.google.com/spreadsheets/d/1C3CXT74ZlgGe6_JY_1olB1XN4rF0dxEuIIF-xsYjHgg/edit?usp=sharing"",""งบกองทุน!cd76"")"),11142)</f>
        <v>11142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IFERROR(__xludf.DUMMYFUNCTION("IMPORTRANGE(""https://docs.google.com/spreadsheets/d/1C3CXT74ZlgGe6_JY_1olB1XN4rF0dxEuIIF-xsYjHgg/edit?usp=sharing"",""งบกองทุน!cd76"")"),11142)</f>
        <v>11142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IFERROR(__xludf.DUMMYFUNCTION("IMPORTRANGE(""https://docs.google.com/spreadsheets/d/1C3CXT74ZlgGe6_JY_1olB1XN4rF0dxEuIIF-xsYjHgg/edit?usp=sharing"",""งบกองทุน!cc76"")"),505)</f>
        <v>505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IFERROR(__xludf.DUMMYFUNCTION("IMPORTRANGE(""https://docs.google.com/spreadsheets/d/1C3CXT74ZlgGe6_JY_1olB1XN4rF0dxEuIIF-xsYjHgg/edit?usp=sharing"",""งบกองทุน!cz76"")"),0)</f>
        <v>0</v>
      </c>
      <c r="J409" s="136">
        <v>0</v>
      </c>
      <c r="K409" s="137">
        <f t="shared" ca="1" si="82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IFERROR(__xludf.DUMMYFUNCTION("IMPORTRANGE(""https://docs.google.com/spreadsheets/d/1C3CXT74ZlgGe6_JY_1olB1XN4rF0dxEuIIF-xsYjHgg/edit?usp=sharing"",""งบกองทุน!cz76"")"),0)</f>
        <v>0</v>
      </c>
      <c r="J410" s="149">
        <v>0</v>
      </c>
      <c r="K410" s="146">
        <f t="shared" ca="1" si="82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IFERROR(__xludf.DUMMYFUNCTION("IMPORTRANGE(""https://docs.google.com/spreadsheets/d/1C3CXT74ZlgGe6_JY_1olB1XN4rF0dxEuIIF-xsYjHgg/edit?usp=sharing"",""งบกองทุน!cy76"")"),0)</f>
        <v>0</v>
      </c>
      <c r="J411" s="149">
        <v>0</v>
      </c>
      <c r="K411" s="146">
        <f t="shared" ca="1" si="82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IFERROR(__xludf.DUMMYFUNCTION("IMPORTRANGE(""https://docs.google.com/spreadsheets/d/1C3CXT74ZlgGe6_JY_1olB1XN4rF0dxEuIIF-xsYjHgg/edit?usp=sharing"",""งบกองทุน!db76"")"),0)</f>
        <v>0</v>
      </c>
      <c r="K412" s="48">
        <f t="shared" si="82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IFERROR(__xludf.DUMMYFUNCTION("IMPORTRANGE(""https://docs.google.com/spreadsheets/d/1C3CXT74ZlgGe6_JY_1olB1XN4rF0dxEuIIF-xsYjHgg/edit?usp=sharing"",""งบกองทุน!da76"")"),0)</f>
        <v>0</v>
      </c>
      <c r="K413" s="48">
        <f t="shared" si="82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IFERROR(__xludf.DUMMYFUNCTION("IMPORTRANGE(""https://docs.google.com/spreadsheets/d/1C3CXT74ZlgGe6_JY_1olB1XN4rF0dxEuIIF-xsYjHgg/edit?usp=sharing"",""งบกองทุน!dd76"")"),0)</f>
        <v>0</v>
      </c>
      <c r="K414" s="48">
        <f t="shared" si="82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IFERROR(__xludf.DUMMYFUNCTION("IMPORTRANGE(""https://docs.google.com/spreadsheets/d/1C3CXT74ZlgGe6_JY_1olB1XN4rF0dxEuIIF-xsYjHgg/edit?usp=sharing"",""งบกองทุน!dc76"")"),0)</f>
        <v>0</v>
      </c>
      <c r="K415" s="48">
        <f t="shared" si="82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IFERROR(__xludf.DUMMYFUNCTION("IMPORTRANGE(""https://docs.google.com/spreadsheets/d/1C3CXT74ZlgGe6_JY_1olB1XN4rF0dxEuIIF-xsYjHgg/edit?usp=sharing"",""งบกองทุน!df76"")"),0)</f>
        <v>0</v>
      </c>
      <c r="K416" s="48">
        <f t="shared" si="82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IFERROR(__xludf.DUMMYFUNCTION("IMPORTRANGE(""https://docs.google.com/spreadsheets/d/1C3CXT74ZlgGe6_JY_1olB1XN4rF0dxEuIIF-xsYjHgg/edit?usp=sharing"",""งบกองทุน!de76"")"),0)</f>
        <v>0</v>
      </c>
      <c r="K417" s="48">
        <f t="shared" si="82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f t="shared" ca="1" si="82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f t="shared" ca="1" si="82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f t="shared" si="82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f t="shared" si="82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f t="shared" si="82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f t="shared" si="82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f t="shared" si="82"/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4">
        <v>0</v>
      </c>
      <c r="J425" s="300">
        <v>0</v>
      </c>
      <c r="K425" s="301">
        <f t="shared" si="82"/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23</v>
      </c>
      <c r="J426" s="257">
        <f t="shared" si="91"/>
        <v>0</v>
      </c>
      <c r="K426" s="258">
        <f ca="1">IF(I426&gt;0,J426*100/I426,0)</f>
        <v>0</v>
      </c>
      <c r="L426" s="259">
        <f t="shared" ref="L426:M426" ca="1" si="92">SUM(L427:L428)</f>
        <v>35190</v>
      </c>
      <c r="M426" s="259">
        <f t="shared" si="92"/>
        <v>0</v>
      </c>
      <c r="N426" s="259">
        <f t="shared" ref="N426:N430" ca="1" si="93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35190</v>
      </c>
      <c r="M428" s="52">
        <f t="shared" si="94"/>
        <v>0</v>
      </c>
      <c r="N428" s="52">
        <f t="shared" ca="1" si="93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IFERROR(__xludf.DUMMYFUNCTION("IMPORTRANGE(""https://docs.google.com/spreadsheets/d/1C3CXT74ZlgGe6_JY_1olB1XN4rF0dxEuIIF-xsYjHgg/edit?usp=sharing"",""งบกองทุน!dn76"")"),0)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IFERROR(__xludf.DUMMYFUNCTION("IMPORTRANGE(""https://docs.google.com/spreadsheets/d/1C3CXT74ZlgGe6_JY_1olB1XN4rF0dxEuIIF-xsYjHgg/edit?usp=sharing"",""งบกองทุน!do76"")"),35190)</f>
        <v>35190</v>
      </c>
      <c r="M430" s="52">
        <f>SUM(M431:M434)</f>
        <v>0</v>
      </c>
      <c r="N430" s="52">
        <f t="shared" ca="1" si="93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0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IFERROR(__xludf.DUMMYFUNCTION("IMPORTRANGE(""https://docs.google.com/spreadsheets/d/1C3CXT74ZlgGe6_JY_1olB1XN4rF0dxEuIIF-xsYjHgg/edit?usp=sharing"",""งบกองทุน!dq76"")"),23)</f>
        <v>23</v>
      </c>
      <c r="J440" s="67">
        <v>0</v>
      </c>
      <c r="K440" s="48">
        <f t="shared" ref="K440:K441" ca="1" si="95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IFERROR(__xludf.DUMMYFUNCTION("IMPORTRANGE(""https://docs.google.com/spreadsheets/d/1C3CXT74ZlgGe6_JY_1olB1XN4rF0dxEuIIF-xsYjHgg/edit?usp=sharing"",""งบกองทุน!dr76"")"),23)</f>
        <v>23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66"/>
      <c r="K445" s="232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66"/>
      <c r="K446" s="232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66"/>
      <c r="K447" s="232"/>
      <c r="L447" s="52">
        <f ca="1">IFERROR(__xludf.DUMMYFUNCTION("IMPORTRANGE(""https://docs.google.com/spreadsheets/d/1C3CXT74ZlgGe6_JY_1olB1XN4rF0dxEuIIF-xsYjHgg/edit?usp=sharing"",""งบกองทุน!dt76"")"),0)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66"/>
      <c r="K448" s="232"/>
      <c r="L448" s="52">
        <f ca="1">IFERROR(__xludf.DUMMYFUNCTION("IMPORTRANGE(""https://docs.google.com/spreadsheets/d/1C3CXT74ZlgGe6_JY_1olB1XN4rF0dxEuIIF-xsYjHgg/edit?usp=sharing"",""งบกองทุน!du76"")"),0)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IFERROR(__xludf.DUMMYFUNCTION("IMPORTRANGE(""https://docs.google.com/spreadsheets/d/1C3CXT74ZlgGe6_JY_1olB1XN4rF0dxEuIIF-xsYjHgg/edit?usp=sharing"",""งบกองทุน!dw76"")"),0)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IFERROR(__xludf.DUMMYFUNCTION("IMPORTRANGE(""https://docs.google.com/spreadsheets/d/1C3CXT74ZlgGe6_JY_1olB1XN4rF0dxEuIIF-xsYjHgg/edit?usp=sharing"",""งบกองทุน!dx76"")"),0)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IFERROR(__xludf.DUMMYFUNCTION("IMPORTRANGE(""https://docs.google.com/spreadsheets/d/1C3CXT74ZlgGe6_JY_1olB1XN4rF0dxEuIIF-xsYjHgg/edit?usp=sharing"",""งบกองทุน!dy76"")"),0)</f>
        <v>0</v>
      </c>
      <c r="J455" s="66">
        <v>0</v>
      </c>
      <c r="K455" s="232">
        <f t="shared" ca="1" si="100"/>
        <v>0</v>
      </c>
      <c r="L455" s="52"/>
      <c r="M455" s="52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IFERROR(__xludf.DUMMYFUNCTION("IMPORTRANGE(""https://docs.google.com/spreadsheets/d/1C3CXT74ZlgGe6_JY_1olB1XN4rF0dxEuIIF-xsYjHgg/edit?usp=sharing"",""งบกองทุน!dz76"")"),0)</f>
        <v>0</v>
      </c>
      <c r="J456" s="66">
        <v>0</v>
      </c>
      <c r="K456" s="48">
        <f t="shared" ca="1" si="100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600</v>
      </c>
      <c r="J457" s="226">
        <f>+J466</f>
        <v>0</v>
      </c>
      <c r="K457" s="227">
        <f t="shared" ca="1" si="100"/>
        <v>0</v>
      </c>
      <c r="L457" s="228">
        <f t="shared" ref="L457:M457" ca="1" si="101">SUM(L458:L459)</f>
        <v>125680</v>
      </c>
      <c r="M457" s="228">
        <f t="shared" si="101"/>
        <v>0</v>
      </c>
      <c r="N457" s="228">
        <f t="shared" ref="N457:N461" ca="1" si="102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125680</v>
      </c>
      <c r="M459" s="52">
        <f t="shared" si="103"/>
        <v>0</v>
      </c>
      <c r="N459" s="52">
        <f t="shared" ca="1" si="102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IFERROR(__xludf.DUMMYFUNCTION("IMPORTRANGE(""https://docs.google.com/spreadsheets/d/1C3CXT74ZlgGe6_JY_1olB1XN4rF0dxEuIIF-xsYjHgg/edit?usp=sharing"",""งบกองทุน!Eb76"")"),0)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IFERROR(__xludf.DUMMYFUNCTION("IMPORTRANGE(""https://docs.google.com/spreadsheets/d/1C3CXT74ZlgGe6_JY_1olB1XN4rF0dxEuIIF-xsYjHgg/edit?usp=sharing"",""งบกองทุน!Ec76"")"),125680)</f>
        <v>125680</v>
      </c>
      <c r="M461" s="52">
        <f>SUM(M462:M465)</f>
        <v>0</v>
      </c>
      <c r="N461" s="52">
        <f t="shared" ca="1" si="102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IFERROR(__xludf.DUMMYFUNCTION("IMPORTRANGE(""https://docs.google.com/spreadsheets/d/1C3CXT74ZlgGe6_JY_1olB1XN4rF0dxEuIIF-xsYjHgg/edit?usp=sharing"",""งบกองทุน!Ed76"")"),600)</f>
        <v>600</v>
      </c>
      <c r="J466" s="265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0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500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377750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377750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IFERROR(__xludf.DUMMYFUNCTION("IMPORTRANGE(""https://docs.google.com/spreadsheets/d/1C3CXT74ZlgGe6_JY_1olB1XN4rF0dxEuIIF-xsYjHgg/edit?usp=sharing"",""งบกองทุน!Ek76"")"),0)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IFERROR(__xludf.DUMMYFUNCTION("IMPORTRANGE(""https://docs.google.com/spreadsheets/d/1C3CXT74ZlgGe6_JY_1olB1XN4rF0dxEuIIF-xsYjHgg/edit?usp=sharing"",""งบกองทุน!El76"")"),377750)</f>
        <v>377750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3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3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IFERROR(__xludf.DUMMYFUNCTION("IMPORTRANGE(""https://docs.google.com/spreadsheets/d/1C3CXT74ZlgGe6_JY_1olB1XN4rF0dxEuIIF-xsYjHgg/edit?usp=sharing"",""งบกองทุน!Em76"")"),500)</f>
        <v>500</v>
      </c>
      <c r="J482" s="66">
        <f ca="1">IFERROR(__xludf.DUMMYFUNCTION("IMPORTRANGE(""https://docs.google.com/spreadsheets/d/1AGHcLOeeYFL3K4b9R1dSzyJy00PE_ra89DNTVfnxSWM/edit?usp=sharing"",""รวมที่ชุมชน!G9"")"),26)</f>
        <v>26</v>
      </c>
      <c r="K482" s="48">
        <f t="shared" ref="K482:K489" ca="1" si="107">IF(I482&gt;0,J482*100/I482,0)</f>
        <v>5.2</v>
      </c>
      <c r="L482" s="60"/>
      <c r="M482" s="60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IFERROR(__xludf.DUMMYFUNCTION("IMPORTRANGE(""https://docs.google.com/spreadsheets/d/1C3CXT74ZlgGe6_JY_1olB1XN4rF0dxEuIIF-xsYjHgg/edit?usp=sharing"",""งบกองทุน!En76"")"),0)</f>
        <v>0</v>
      </c>
      <c r="J483" s="66">
        <f ca="1">IFERROR(__xludf.DUMMYFUNCTION("IMPORTRANGE(""https://docs.google.com/spreadsheets/d/1AGHcLOeeYFL3K4b9R1dSzyJy00PE_ra89DNTVfnxSWM/edit?usp=sharing"",""รวมที่ชุมชน!H9"")"),34.53)</f>
        <v>34.53</v>
      </c>
      <c r="K483" s="200">
        <f t="shared" ca="1" si="107"/>
        <v>0</v>
      </c>
      <c r="L483" s="60"/>
      <c r="M483" s="60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IFERROR(__xludf.DUMMYFUNCTION("IMPORTRANGE(""https://docs.google.com/spreadsheets/d/1C3CXT74ZlgGe6_JY_1olB1XN4rF0dxEuIIF-xsYjHgg/edit?usp=sharing"",""งบกองทุน!Eo76"")"),500)</f>
        <v>500</v>
      </c>
      <c r="J484" s="66">
        <f ca="1">IFERROR(__xludf.DUMMYFUNCTION("IMPORTRANGE(""https://docs.google.com/spreadsheets/d/1AGHcLOeeYFL3K4b9R1dSzyJy00PE_ra89DNTVfnxSWM/edit?usp=sharing"",""รวมที่ชุมชน!J9"")"),0)</f>
        <v>0</v>
      </c>
      <c r="K484" s="48">
        <f t="shared" ca="1" si="107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IFERROR(__xludf.DUMMYFUNCTION("IMPORTRANGE(""https://docs.google.com/spreadsheets/d/1C3CXT74ZlgGe6_JY_1olB1XN4rF0dxEuIIF-xsYjHgg/edit?usp=sharing"",""งบกองทุน!Ep76"")"),0)</f>
        <v>0</v>
      </c>
      <c r="J485" s="66">
        <f ca="1">IFERROR(__xludf.DUMMYFUNCTION("IMPORTRANGE(""https://docs.google.com/spreadsheets/d/1AGHcLOeeYFL3K4b9R1dSzyJy00PE_ra89DNTVfnxSWM/edit?usp=sharing"",""รวมที่ชุมชน!L9"")"),0)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IFERROR(__xludf.DUMMYFUNCTION("IMPORTRANGE(""https://docs.google.com/spreadsheets/d/1C3CXT74ZlgGe6_JY_1olB1XN4rF0dxEuIIF-xsYjHgg/edit?usp=sharing"",""งบกองทุน!Eq76"")"),500)</f>
        <v>500</v>
      </c>
      <c r="J486" s="66">
        <f ca="1">IFERROR(__xludf.DUMMYFUNCTION("IMPORTRANGE(""https://docs.google.com/spreadsheets/d/1AGHcLOeeYFL3K4b9R1dSzyJy00PE_ra89DNTVfnxSWM/edit?usp=sharing"",""รวมที่ชุมชน!S9"")"),0)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IFERROR(__xludf.DUMMYFUNCTION("IMPORTRANGE(""https://docs.google.com/spreadsheets/d/1C3CXT74ZlgGe6_JY_1olB1XN4rF0dxEuIIF-xsYjHgg/edit?usp=sharing"",""งบกองทุน!Er76"")"),0)</f>
        <v>0</v>
      </c>
      <c r="J487" s="66">
        <f ca="1">IFERROR(__xludf.DUMMYFUNCTION("IMPORTRANGE(""https://docs.google.com/spreadsheets/d/1AGHcLOeeYFL3K4b9R1dSzyJy00PE_ra89DNTVfnxSWM/edit?usp=sharing"",""รวมที่ชุมชน!U9"")"),0)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IFERROR(__xludf.DUMMYFUNCTION("IMPORTRANGE(""https://docs.google.com/spreadsheets/d/1C3CXT74ZlgGe6_JY_1olB1XN4rF0dxEuIIF-xsYjHgg/edit?usp=sharing"",""งบกองทุน!Es76"")"),500)</f>
        <v>500</v>
      </c>
      <c r="J488" s="66">
        <f ca="1">IFERROR(__xludf.DUMMYFUNCTION("IMPORTRANGE(""https://docs.google.com/spreadsheets/d/1AGHcLOeeYFL3K4b9R1dSzyJy00PE_ra89DNTVfnxSWM/edit?usp=sharing"",""รวมที่ชุมชน!V9"")"),0)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IFERROR(__xludf.DUMMYFUNCTION("IMPORTRANGE(""https://docs.google.com/spreadsheets/d/1C3CXT74ZlgGe6_JY_1olB1XN4rF0dxEuIIF-xsYjHgg/edit?usp=sharing"",""งบกองทุน!Et76"")"),0)</f>
        <v>0</v>
      </c>
      <c r="J489" s="111">
        <f ca="1">IFERROR(__xludf.DUMMYFUNCTION("IMPORTRANGE(""https://docs.google.com/spreadsheets/d/1AGHcLOeeYFL3K4b9R1dSzyJy00PE_ra89DNTVfnxSWM/edit?usp=sharing"",""รวมที่ชุมชน!X9"")"),0)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50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4550</v>
      </c>
      <c r="M490" s="259">
        <f>SUM(M491:M492)</f>
        <v>0</v>
      </c>
      <c r="N490" s="259">
        <f t="shared" ref="N490:N494" ca="1" si="109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4550</v>
      </c>
      <c r="M492" s="52">
        <f t="shared" si="110"/>
        <v>0</v>
      </c>
      <c r="N492" s="52">
        <f t="shared" ca="1" si="109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IFERROR(__xludf.DUMMYFUNCTION("IMPORTRANGE(""https://docs.google.com/spreadsheets/d/1C3CXT74ZlgGe6_JY_1olB1XN4rF0dxEuIIF-xsYjHgg/edit?usp=sharing"",""งบกองทุน!Ev76"")"),0)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IFERROR(__xludf.DUMMYFUNCTION("IMPORTRANGE(""https://docs.google.com/spreadsheets/d/1C3CXT74ZlgGe6_JY_1olB1XN4rF0dxEuIIF-xsYjHgg/edit?usp=sharing"",""งบกองทุน!Ew76"")"),4550)</f>
        <v>4550</v>
      </c>
      <c r="M494" s="52">
        <f>SUM(M495:M498)</f>
        <v>0</v>
      </c>
      <c r="N494" s="52">
        <f t="shared" ca="1" si="109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IFERROR(__xludf.DUMMYFUNCTION("IMPORTRANGE(""https://docs.google.com/spreadsheets/d/1C3CXT74ZlgGe6_JY_1olB1XN4rF0dxEuIIF-xsYjHgg/edit?usp=sharing"",""งบกองทุน!EZ76"")"),50)</f>
        <v>50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IFERROR(__xludf.DUMMYFUNCTION("IMPORTRANGE(""https://docs.google.com/spreadsheets/d/1C3CXT74ZlgGe6_JY_1olB1XN4rF0dxEuIIF-xsYjHgg/edit?usp=sharing"",""งบกองทุน!ff76"")"),0)</f>
        <v>0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IFERROR(__xludf.DUMMYFUNCTION("IMPORTRANGE(""https://docs.google.com/spreadsheets/d/1muirlRDkqiswvy_NRZ3Yh955hx-PF6_HhssUYiSJj8o/edit?usp=sharing"",""กองทุน!D76"")"),2448689.05)</f>
        <v>2448689.0499999998</v>
      </c>
      <c r="J521" s="199">
        <f ca="1">IFERROR(__xludf.DUMMYFUNCTION("IMPORTRANGE(""https://docs.google.com/spreadsheets/d/1muirlRDkqiswvy_NRZ3Yh955hx-PF6_HhssUYiSJj8o/edit?usp=sharing"",""กองทุน!F76"")"),0)</f>
        <v>0</v>
      </c>
      <c r="K521" s="200">
        <f t="shared" ref="K521:K528" ca="1" si="116">IF(I521&gt;0,J521*100/I521,0)</f>
        <v>0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IFERROR(__xludf.DUMMYFUNCTION("IMPORTRANGE(""https://docs.google.com/spreadsheets/d/1muirlRDkqiswvy_NRZ3Yh955hx-PF6_HhssUYiSJj8o/edit?usp=sharing"",""กองทุน!C76"")"),168)</f>
        <v>168</v>
      </c>
      <c r="J522" s="199">
        <f ca="1">IFERROR(__xludf.DUMMYFUNCTION("IMPORTRANGE(""https://docs.google.com/spreadsheets/d/1muirlRDkqiswvy_NRZ3Yh955hx-PF6_HhssUYiSJj8o/edit?usp=sharing"",""กองทุน!E76"")"),0)</f>
        <v>0</v>
      </c>
      <c r="K522" s="200">
        <f t="shared" ca="1" si="116"/>
        <v>0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IFERROR(__xludf.DUMMYFUNCTION("IMPORTRANGE(""https://docs.google.com/spreadsheets/d/1muirlRDkqiswvy_NRZ3Yh955hx-PF6_HhssUYiSJj8o/edit?usp=sharing"",""กองทุน!I76"")"),17020029.08)</f>
        <v>17020029.079999998</v>
      </c>
      <c r="J523" s="199">
        <f ca="1">IFERROR(__xludf.DUMMYFUNCTION("IMPORTRANGE(""https://docs.google.com/spreadsheets/d/1muirlRDkqiswvy_NRZ3Yh955hx-PF6_HhssUYiSJj8o/edit?usp=sharing"",""กองทุน!K76"")"),6956.11)</f>
        <v>6956.11</v>
      </c>
      <c r="K523" s="200">
        <f t="shared" ca="1" si="116"/>
        <v>4.0870141686032896E-2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IFERROR(__xludf.DUMMYFUNCTION("IMPORTRANGE(""https://docs.google.com/spreadsheets/d/1muirlRDkqiswvy_NRZ3Yh955hx-PF6_HhssUYiSJj8o/edit?usp=sharing"",""กองทุน!H76"")"),253)</f>
        <v>253</v>
      </c>
      <c r="J524" s="199">
        <f ca="1">IFERROR(__xludf.DUMMYFUNCTION("IMPORTRANGE(""https://docs.google.com/spreadsheets/d/1muirlRDkqiswvy_NRZ3Yh955hx-PF6_HhssUYiSJj8o/edit?usp=sharing"",""กองทุน!J76"")"),4)</f>
        <v>4</v>
      </c>
      <c r="K524" s="200">
        <f t="shared" ca="1" si="116"/>
        <v>1.5810276679841897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IFERROR(__xludf.DUMMYFUNCTION("IMPORTRANGE(""https://docs.google.com/spreadsheets/d/1muirlRDkqiswvy_NRZ3Yh955hx-PF6_HhssUYiSJj8o/edit?usp=sharing"",""กองทุน!N76"")"),2425843.89)</f>
        <v>2425843.89</v>
      </c>
      <c r="J525" s="199">
        <f ca="1">IFERROR(__xludf.DUMMYFUNCTION("IMPORTRANGE(""https://docs.google.com/spreadsheets/d/1muirlRDkqiswvy_NRZ3Yh955hx-PF6_HhssUYiSJj8o/edit?usp=sharing"",""กองทุน!P76"")"),7238.04)</f>
        <v>7238.04</v>
      </c>
      <c r="K525" s="200">
        <f t="shared" ca="1" si="116"/>
        <v>0.29837204404773132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IFERROR(__xludf.DUMMYFUNCTION("IMPORTRANGE(""https://docs.google.com/spreadsheets/d/1muirlRDkqiswvy_NRZ3Yh955hx-PF6_HhssUYiSJj8o/edit?usp=sharing"",""กองทุน!M76"")"),85)</f>
        <v>85</v>
      </c>
      <c r="J526" s="199">
        <f ca="1">IFERROR(__xludf.DUMMYFUNCTION("IMPORTRANGE(""https://docs.google.com/spreadsheets/d/1muirlRDkqiswvy_NRZ3Yh955hx-PF6_HhssUYiSJj8o/edit?usp=sharing"",""กองทุน!O76"")"),3)</f>
        <v>3</v>
      </c>
      <c r="K526" s="200">
        <f t="shared" ca="1" si="116"/>
        <v>3.5294117647058822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IFERROR(__xludf.DUMMYFUNCTION("IMPORTRANGE(""https://docs.google.com/spreadsheets/d/1muirlRDkqiswvy_NRZ3Yh955hx-PF6_HhssUYiSJj8o/edit?usp=sharing"",""กองทุน!S76"")"),5265000)</f>
        <v>5265000</v>
      </c>
      <c r="J527" s="199">
        <f ca="1">IFERROR(__xludf.DUMMYFUNCTION("IMPORTRANGE(""https://docs.google.com/spreadsheets/d/1muirlRDkqiswvy_NRZ3Yh955hx-PF6_HhssUYiSJj8o/edit?usp=sharing"",""กองทุน!U76"")"),0)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IFERROR(__xludf.DUMMYFUNCTION("IMPORTRANGE(""https://docs.google.com/spreadsheets/d/1muirlRDkqiswvy_NRZ3Yh955hx-PF6_HhssUYiSJj8o/edit?usp=sharing"",""กองทุน!R76"")"),134)</f>
        <v>134</v>
      </c>
      <c r="J528" s="324">
        <f ca="1">IFERROR(__xludf.DUMMYFUNCTION("IMPORTRANGE(""https://docs.google.com/spreadsheets/d/1muirlRDkqiswvy_NRZ3Yh955hx-PF6_HhssUYiSJj8o/edit?usp=sharing"",""กองทุน!T76"")"),0)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237" activePane="bottomLeft" state="frozen"/>
      <selection activeCell="A5" sqref="A5:G5"/>
      <selection pane="bottomLeft" activeCell="G245" sqref="G245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68" t="s">
        <v>0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</row>
    <row r="2" spans="1:14" ht="18" customHeight="1" x14ac:dyDescent="0.55000000000000004">
      <c r="A2" s="368" t="s">
        <v>218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</row>
    <row r="3" spans="1:14" ht="18" customHeight="1" x14ac:dyDescent="0.55000000000000004">
      <c r="A3" s="368" t="s">
        <v>247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70" t="s">
        <v>4</v>
      </c>
      <c r="B5" s="371"/>
      <c r="C5" s="371"/>
      <c r="D5" s="371"/>
      <c r="E5" s="371"/>
      <c r="F5" s="371"/>
      <c r="G5" s="372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2510010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66"/>
      <c r="K11" s="232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66"/>
      <c r="K12" s="232"/>
      <c r="L12" s="52">
        <f ca="1">IFERROR(__xludf.DUMMYFUNCTION("IMPORTRANGE(""https://docs.google.com/spreadsheets/d/1C3CXT74ZlgGe6_JY_1olB1XN4rF0dxEuIIF-xsYjHgg/edit?usp=sharing"",""พรบ!C59"")"),0)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66"/>
      <c r="K13" s="232"/>
      <c r="L13" s="52">
        <f ca="1">IFERROR(__xludf.DUMMYFUNCTION("IMPORTRANGE(""https://docs.google.com/spreadsheets/d/1C3CXT74ZlgGe6_JY_1olB1XN4rF0dxEuIIF-xsYjHgg/edit?usp=sharing"",""พรบ!D59"")"),0)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66"/>
      <c r="K14" s="232"/>
      <c r="L14" s="52">
        <f ca="1">IFERROR(__xludf.DUMMYFUNCTION("IMPORTRANGE(""https://docs.google.com/spreadsheets/d/1C3CXT74ZlgGe6_JY_1olB1XN4rF0dxEuIIF-xsYjHgg/edit?usp=sharing"",""พรบ!E59"")"),0)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28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IFERROR(__xludf.DUMMYFUNCTION("IMPORTRANGE(""https://docs.google.com/spreadsheets/d/1C3CXT74ZlgGe6_JY_1olB1XN4rF0dxEuIIF-xsYjHgg/edit?usp=sharing"",""พรบ!H59"")"),0)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IFERROR(__xludf.DUMMYFUNCTION("IMPORTRANGE(""https://docs.google.com/spreadsheets/d/1C3CXT74ZlgGe6_JY_1olB1XN4rF0dxEuIIF-xsYjHgg/edit?usp=sharing"",""พรบ!I59"")"),0)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IFERROR(__xludf.DUMMYFUNCTION("IMPORTRANGE(""https://docs.google.com/spreadsheets/d/1C3CXT74ZlgGe6_JY_1olB1XN4rF0dxEuIIF-xsYjHgg/edit?usp=sharing"",""พรบ!J59"")"),0)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IFERROR(__xludf.DUMMYFUNCTION("IMPORTRANGE(""https://docs.google.com/spreadsheets/d/1C3CXT74ZlgGe6_JY_1olB1XN4rF0dxEuIIF-xsYjHgg/edit?usp=sharing"",""พรบ!K59"")"),0)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IFERROR(__xludf.DUMMYFUNCTION("IMPORTRANGE(""https://docs.google.com/spreadsheets/d/1C3CXT74ZlgGe6_JY_1olB1XN4rF0dxEuIIF-xsYjHgg/edit?usp=sharing"",""พรบ!L59"")"),0)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IFERROR(__xludf.DUMMYFUNCTION("IMPORTRANGE(""https://docs.google.com/spreadsheets/d/1C3CXT74ZlgGe6_JY_1olB1XN4rF0dxEuIIF-xsYjHgg/edit?usp=sharing"",""พรบ!M59"")"),0)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IFERROR(__xludf.DUMMYFUNCTION("IMPORTRANGE(""https://docs.google.com/spreadsheets/d/1C3CXT74ZlgGe6_JY_1olB1XN4rF0dxEuIIF-xsYjHgg/edit?usp=sharing"",""พรบ!N59"")"),0)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6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7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134160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2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IFERROR(__xludf.DUMMYFUNCTION("IMPORTRANGE(""https://docs.google.com/spreadsheets/d/1C3CXT74ZlgGe6_JY_1olB1XN4rF0dxEuIIF-xsYjHgg/edit?usp=sharing"",""พรบ!O59"")"),134160)</f>
        <v>134160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IFERROR(__xludf.DUMMYFUNCTION("IMPORTRANGE(""https://docs.google.com/spreadsheets/d/1C3CXT74ZlgGe6_JY_1olB1XN4rF0dxEuIIF-xsYjHgg/edit?usp=sharing"",""พรบ!P59"")"),0)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47"/>
      <c r="K37" s="48"/>
      <c r="L37" s="52">
        <f ca="1">IFERROR(__xludf.DUMMYFUNCTION("IMPORTRANGE(""https://docs.google.com/spreadsheets/d/1C3CXT74ZlgGe6_JY_1olB1XN4rF0dxEuIIF-xsYjHgg/edit?usp=sharing"",""พรบ!Q59"")"),134160)</f>
        <v>134160</v>
      </c>
      <c r="M37" s="53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47"/>
      <c r="K38" s="48"/>
      <c r="L38" s="60"/>
      <c r="M38" s="60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7">
        <v>1</v>
      </c>
      <c r="K39" s="48"/>
      <c r="L39" s="60"/>
      <c r="M39" s="60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7">
        <v>0</v>
      </c>
      <c r="K40" s="48"/>
      <c r="L40" s="60" t="s">
        <v>21</v>
      </c>
      <c r="M40" s="60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7">
        <v>0</v>
      </c>
      <c r="K41" s="48"/>
      <c r="L41" s="60"/>
      <c r="M41" s="60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7">
        <v>0</v>
      </c>
      <c r="K42" s="48"/>
      <c r="L42" s="60"/>
      <c r="M42" s="60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IFERROR(__xludf.DUMMYFUNCTION("IMPORTRANGE(""https://docs.google.com/spreadsheets/d/1C3CXT74ZlgGe6_JY_1olB1XN4rF0dxEuIIF-xsYjHgg/edit?usp=sharing"",""พรบ!R59"")"),1)</f>
        <v>1</v>
      </c>
      <c r="J43" s="67">
        <v>0</v>
      </c>
      <c r="K43" s="48">
        <f t="shared" ref="K43:K48" ca="1" si="11">IF(I43&gt;0,J43*100/I43,0)</f>
        <v>0</v>
      </c>
      <c r="L43" s="60"/>
      <c r="M43" s="60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IFERROR(__xludf.DUMMYFUNCTION("IMPORTRANGE(""https://docs.google.com/spreadsheets/d/1C3CXT74ZlgGe6_JY_1olB1XN4rF0dxEuIIF-xsYjHgg/edit?usp=sharing"",""พรบ!S59"")"),7)</f>
        <v>7</v>
      </c>
      <c r="J44" s="67">
        <v>0</v>
      </c>
      <c r="K44" s="48">
        <f t="shared" ca="1" si="11"/>
        <v>0</v>
      </c>
      <c r="L44" s="60"/>
      <c r="M44" s="60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IFERROR(__xludf.DUMMYFUNCTION("IMPORTRANGE(""https://docs.google.com/spreadsheets/d/1C3CXT74ZlgGe6_JY_1olB1XN4rF0dxEuIIF-xsYjHgg/edit?usp=sharing"",""พรบ!T59"")"),7)</f>
        <v>7</v>
      </c>
      <c r="J45" s="67">
        <v>0</v>
      </c>
      <c r="K45" s="48">
        <f t="shared" ca="1" si="11"/>
        <v>0</v>
      </c>
      <c r="L45" s="60"/>
      <c r="M45" s="60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IFERROR(__xludf.DUMMYFUNCTION("IMPORTRANGE(""https://docs.google.com/spreadsheets/d/1C3CXT74ZlgGe6_JY_1olB1XN4rF0dxEuIIF-xsYjHgg/edit?usp=sharing"",""พรบ!U59"")"),7)</f>
        <v>7</v>
      </c>
      <c r="J46" s="67">
        <v>0</v>
      </c>
      <c r="K46" s="48">
        <f t="shared" ca="1" si="11"/>
        <v>0</v>
      </c>
      <c r="L46" s="60"/>
      <c r="M46" s="60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IFERROR(__xludf.DUMMYFUNCTION("IMPORTRANGE(""https://docs.google.com/spreadsheets/d/1C3CXT74ZlgGe6_JY_1olB1XN4rF0dxEuIIF-xsYjHgg/edit?usp=sharing"",""พรบ!V59"")"),7)</f>
        <v>7</v>
      </c>
      <c r="J47" s="67">
        <v>0</v>
      </c>
      <c r="K47" s="48">
        <f t="shared" ca="1" si="11"/>
        <v>0</v>
      </c>
      <c r="L47" s="60"/>
      <c r="M47" s="60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IFERROR(__xludf.DUMMYFUNCTION("IMPORTRANGE(""https://docs.google.com/spreadsheets/d/1C3CXT74ZlgGe6_JY_1olB1XN4rF0dxEuIIF-xsYjHgg/edit?usp=sharing"",""พรบ!W59"")"),2)</f>
        <v>2</v>
      </c>
      <c r="J48" s="67">
        <v>0</v>
      </c>
      <c r="K48" s="48">
        <f t="shared" ca="1" si="11"/>
        <v>0</v>
      </c>
      <c r="L48" s="60"/>
      <c r="M48" s="60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7"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84"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20</v>
      </c>
      <c r="J52" s="38">
        <f>+J62</f>
        <v>0</v>
      </c>
      <c r="K52" s="39">
        <f ca="1">IF(I52&gt;0,J52*100/I52,0)</f>
        <v>0</v>
      </c>
      <c r="L52" s="40">
        <f ca="1">L53+L54</f>
        <v>82440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82440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IFERROR(__xludf.DUMMYFUNCTION("IMPORTRANGE(""https://docs.google.com/spreadsheets/d/1C3CXT74ZlgGe6_JY_1olB1XN4rF0dxEuIIF-xsYjHgg/edit?usp=sharing"",""พรบ!Y59"")"),0)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47"/>
      <c r="K56" s="48"/>
      <c r="L56" s="52">
        <f ca="1">IFERROR(__xludf.DUMMYFUNCTION("IMPORTRANGE(""https://docs.google.com/spreadsheets/d/1C3CXT74ZlgGe6_JY_1olB1XN4rF0dxEuIIF-xsYjHgg/edit?usp=sharing"",""พรบ!Z59"")"),82440)</f>
        <v>82440</v>
      </c>
      <c r="M56" s="53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246</v>
      </c>
      <c r="E57" s="57"/>
      <c r="F57" s="57"/>
      <c r="G57" s="58"/>
      <c r="H57" s="59"/>
      <c r="I57" s="47"/>
      <c r="J57" s="47"/>
      <c r="K57" s="48"/>
      <c r="L57" s="60"/>
      <c r="M57" s="60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7">
        <v>1</v>
      </c>
      <c r="K58" s="48"/>
      <c r="L58" s="60"/>
      <c r="M58" s="60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7">
        <v>0</v>
      </c>
      <c r="K59" s="48"/>
      <c r="L59" s="60" t="s">
        <v>21</v>
      </c>
      <c r="M59" s="60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7">
        <v>0</v>
      </c>
      <c r="K60" s="48"/>
      <c r="L60" s="60"/>
      <c r="M60" s="60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7">
        <v>0</v>
      </c>
      <c r="K61" s="48"/>
      <c r="L61" s="60"/>
      <c r="M61" s="60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IFERROR(__xludf.DUMMYFUNCTION("IMPORTRANGE(""https://docs.google.com/spreadsheets/d/1C3CXT74ZlgGe6_JY_1olB1XN4rF0dxEuIIF-xsYjHgg/edit?usp=sharing"",""พรบ!AA59"")"),20)</f>
        <v>20</v>
      </c>
      <c r="J62" s="67">
        <v>0</v>
      </c>
      <c r="K62" s="48">
        <f t="shared" ref="K62:K63" ca="1" si="14">IF(I62&gt;0,J62*100/I62,0)</f>
        <v>0</v>
      </c>
      <c r="L62" s="60"/>
      <c r="M62" s="60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20</v>
      </c>
      <c r="J63" s="67">
        <v>0</v>
      </c>
      <c r="K63" s="48">
        <f t="shared" ca="1" si="14"/>
        <v>0</v>
      </c>
      <c r="L63" s="60"/>
      <c r="M63" s="60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7">
        <v>0</v>
      </c>
      <c r="K64" s="48"/>
      <c r="L64" s="60"/>
      <c r="M64" s="60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112">
        <v>0</v>
      </c>
      <c r="K65" s="113"/>
      <c r="L65" s="114"/>
      <c r="M65" s="114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30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647600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647600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IFERROR(__xludf.DUMMYFUNCTION("IMPORTRANGE(""https://docs.google.com/spreadsheets/d/1C3CXT74ZlgGe6_JY_1olB1XN4rF0dxEuIIF-xsYjHgg/edit?usp=sharing"",""พรบ!AD59"")"),364700)</f>
        <v>364700</v>
      </c>
      <c r="M72" s="53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282900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IFERROR(__xludf.DUMMYFUNCTION("IMPORTRANGE(""https://docs.google.com/spreadsheets/d/1C3CXT74ZlgGe6_JY_1olB1XN4rF0dxEuIIF-xsYjHgg/edit?usp=sharing"",""พรบ!AF59"")"),7500)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1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IFERROR(__xludf.DUMMYFUNCTION("IMPORTRANGE(""https://docs.google.com/spreadsheets/d/1C3CXT74ZlgGe6_JY_1olB1XN4rF0dxEuIIF-xsYjHgg/edit?usp=sharing"",""พรบ!AG59"")"),4)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/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4</v>
      </c>
      <c r="J89" s="149">
        <f t="shared" si="21"/>
        <v>0</v>
      </c>
      <c r="K89" s="150">
        <f ca="1">IF(I89&gt;0,J89*100/I89,0)</f>
        <v>0</v>
      </c>
      <c r="L89" s="147">
        <f ca="1">L90+L91</f>
        <v>56000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56000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IFERROR(__xludf.DUMMYFUNCTION("IMPORTRANGE(""https://docs.google.com/spreadsheets/d/1C3CXT74ZlgGe6_JY_1olB1XN4rF0dxEuIIF-xsYjHgg/edit?usp=sharing"",""พรบ!AH59"")"),56000)</f>
        <v>56000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1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/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IFERROR(__xludf.DUMMYFUNCTION("IMPORTRANGE(""https://docs.google.com/spreadsheets/d/1C3CXT74ZlgGe6_JY_1olB1XN4rF0dxEuIIF-xsYjHgg/edit?usp=sharing"",""พรบ!AI59"")"),4)</f>
        <v>4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IFERROR(__xludf.DUMMYFUNCTION("IMPORTRANGE(""https://docs.google.com/spreadsheets/d/1C3CXT74ZlgGe6_JY_1olB1XN4rF0dxEuIIF-xsYjHgg/edit?usp=sharing"",""กปร!C59"")"),48000)</f>
        <v>48000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/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6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90000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90000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47"/>
      <c r="K104" s="48"/>
      <c r="L104" s="52">
        <f ca="1">IFERROR(__xludf.DUMMYFUNCTION("IMPORTRANGE(""https://docs.google.com/spreadsheets/d/1C3CXT74ZlgGe6_JY_1olB1XN4rF0dxEuIIF-xsYjHgg/edit?usp=sharing"",""พรบ!AJ59"")"),90000)</f>
        <v>90000</v>
      </c>
      <c r="M104" s="53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47"/>
      <c r="K105" s="48"/>
      <c r="L105" s="60"/>
      <c r="M105" s="60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7">
        <v>1</v>
      </c>
      <c r="K106" s="48"/>
      <c r="L106" s="60"/>
      <c r="M106" s="60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7">
        <v>0</v>
      </c>
      <c r="K107" s="48"/>
      <c r="L107" s="60" t="s">
        <v>21</v>
      </c>
      <c r="M107" s="60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7"/>
      <c r="K108" s="48"/>
      <c r="L108" s="60"/>
      <c r="M108" s="60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7">
        <v>0</v>
      </c>
      <c r="K109" s="48"/>
      <c r="L109" s="60"/>
      <c r="M109" s="60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IFERROR(__xludf.DUMMYFUNCTION("IMPORTRANGE(""https://docs.google.com/spreadsheets/d/1C3CXT74ZlgGe6_JY_1olB1XN4rF0dxEuIIF-xsYjHgg/edit?usp=sharing"",""พรบ!AK59"")"),6)</f>
        <v>6</v>
      </c>
      <c r="J110" s="67">
        <v>0</v>
      </c>
      <c r="K110" s="48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IFERROR(__xludf.DUMMYFUNCTION("IMPORTRANGE(""https://docs.google.com/spreadsheets/d/1C3CXT74ZlgGe6_JY_1olB1XN4rF0dxEuIIF-xsYjHgg/edit?usp=sharing"",""กปร!D59"")"),30000)</f>
        <v>30000</v>
      </c>
      <c r="M110" s="361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IFERROR(__xludf.DUMMYFUNCTION("IMPORTRANGE(""https://docs.google.com/spreadsheets/d/1C3CXT74ZlgGe6_JY_1olB1XN4rF0dxEuIIF-xsYjHgg/edit?usp=sharing"",""พรบ!AL59"")"),6)</f>
        <v>6</v>
      </c>
      <c r="J111" s="67">
        <v>0</v>
      </c>
      <c r="K111" s="48">
        <f t="shared" ca="1" si="26"/>
        <v>0</v>
      </c>
      <c r="L111" s="52">
        <f ca="1">IFERROR(__xludf.DUMMYFUNCTION("IMPORTRANGE(""https://docs.google.com/spreadsheets/d/1C3CXT74ZlgGe6_JY_1olB1XN4rF0dxEuIIF-xsYjHgg/edit?usp=sharing"",""กปร!E59"")"),48000)</f>
        <v>48000</v>
      </c>
      <c r="M111" s="361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7"/>
      <c r="K112" s="48"/>
      <c r="L112" s="60"/>
      <c r="M112" s="60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84">
        <v>0</v>
      </c>
      <c r="K113" s="48"/>
      <c r="L113" s="60"/>
      <c r="M113" s="60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20000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9000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9000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IFERROR(__xludf.DUMMYFUNCTION("IMPORTRANGE(""https://docs.google.com/spreadsheets/d/1C3CXT74ZlgGe6_JY_1olB1XN4rF0dxEuIIF-xsYjHgg/edit?usp=sharing"",""พรบ!AM59"")"),9000)</f>
        <v>9000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1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/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>
        <v>0</v>
      </c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IFERROR(__xludf.DUMMYFUNCTION("IMPORTRANGE(""https://docs.google.com/spreadsheets/d/1C3CXT74ZlgGe6_JY_1olB1XN4rF0dxEuIIF-xsYjHgg/edit?usp=sharing"",""พรบ!AO59"")"),20000)</f>
        <v>20000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IFERROR(__xludf.DUMMYFUNCTION("IMPORTRANGE(""https://docs.google.com/spreadsheets/d/1C3CXT74ZlgGe6_JY_1olB1XN4rF0dxEuIIF-xsYjHgg/edit?usp=sharing"",""พรบ!AP59"")"),20000)</f>
        <v>20000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IFERROR(__xludf.DUMMYFUNCTION("IMPORTRANGE(""https://docs.google.com/spreadsheets/d/1C3CXT74ZlgGe6_JY_1olB1XN4rF0dxEuIIF-xsYjHgg/edit?usp=sharing"",""กปร!F59"")"),5000)</f>
        <v>5000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IFERROR(__xludf.DUMMYFUNCTION("IMPORTRANGE(""https://docs.google.com/spreadsheets/d/1C3CXT74ZlgGe6_JY_1olB1XN4rF0dxEuIIF-xsYjHgg/edit?usp=sharing"",""พรบ!AQ59"")"),0)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IFERROR(__xludf.DUMMYFUNCTION("IMPORTRANGE(""https://docs.google.com/spreadsheets/d/1C3CXT74ZlgGe6_JY_1olB1XN4rF0dxEuIIF-xsYjHgg/edit?usp=sharing"",""กปร!G59"")"),0)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/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219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30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120400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120400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47"/>
      <c r="K132" s="48"/>
      <c r="L132" s="52">
        <f ca="1">IFERROR(__xludf.DUMMYFUNCTION("IMPORTRANGE(""https://docs.google.com/spreadsheets/d/1C3CXT74ZlgGe6_JY_1olB1XN4rF0dxEuIIF-xsYjHgg/edit?usp=sharing"",""พรบ!AR59"")"),120400)</f>
        <v>120400</v>
      </c>
      <c r="M132" s="53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47"/>
      <c r="K133" s="48"/>
      <c r="L133" s="60"/>
      <c r="M133" s="60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7">
        <v>1</v>
      </c>
      <c r="K134" s="48"/>
      <c r="L134" s="60"/>
      <c r="M134" s="60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7">
        <v>0</v>
      </c>
      <c r="K135" s="48"/>
      <c r="L135" s="60" t="s">
        <v>21</v>
      </c>
      <c r="M135" s="60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7">
        <v>0</v>
      </c>
      <c r="K136" s="48"/>
      <c r="L136" s="60"/>
      <c r="M136" s="60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7">
        <v>0</v>
      </c>
      <c r="K137" s="48"/>
      <c r="L137" s="60"/>
      <c r="M137" s="60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IFERROR(__xludf.DUMMYFUNCTION("IMPORTRANGE(""https://docs.google.com/spreadsheets/d/1C3CXT74ZlgGe6_JY_1olB1XN4rF0dxEuIIF-xsYjHgg/edit?usp=sharing"",""พรบ!AS59"")"),30)</f>
        <v>30</v>
      </c>
      <c r="J138" s="67">
        <v>0</v>
      </c>
      <c r="K138" s="48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IFERROR(__xludf.DUMMYFUNCTION("IMPORTRANGE(""https://docs.google.com/spreadsheets/d/1C3CXT74ZlgGe6_JY_1olB1XN4rF0dxEuIIF-xsYjHgg/edit?usp=sharing"",""กปร!H59"")"),73400)</f>
        <v>73400</v>
      </c>
      <c r="M138" s="361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>
        <v>0</v>
      </c>
      <c r="K139" s="48"/>
      <c r="L139" s="60"/>
      <c r="M139" s="60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IFERROR(__xludf.DUMMYFUNCTION("IMPORTRANGE(""https://docs.google.com/spreadsheets/d/1C3CXT74ZlgGe6_JY_1olB1XN4rF0dxEuIIF-xsYjHgg/edit?usp=sharing"",""พรบ!AT59"")"),1)</f>
        <v>1</v>
      </c>
      <c r="J140" s="66">
        <v>0</v>
      </c>
      <c r="K140" s="48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IFERROR(__xludf.DUMMYFUNCTION("IMPORTRANGE(""https://docs.google.com/spreadsheets/d/1C3CXT74ZlgGe6_JY_1olB1XN4rF0dxEuIIF-xsYjHgg/edit?usp=sharing"",""กปร!I59"")"),0)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IFERROR(__xludf.DUMMYFUNCTION("IMPORTRANGE(""https://docs.google.com/spreadsheets/d/1C3CXT74ZlgGe6_JY_1olB1XN4rF0dxEuIIF-xsYjHgg/edit?usp=sharing"",""พรบ!AU59"")"),0)</f>
        <v>0</v>
      </c>
      <c r="J141" s="67">
        <v>0</v>
      </c>
      <c r="K141" s="48">
        <f t="shared" ca="1" si="34"/>
        <v>0</v>
      </c>
      <c r="L141" s="52">
        <f ca="1">IFERROR(__xludf.DUMMYFUNCTION("IMPORTRANGE(""https://docs.google.com/spreadsheets/d/1C3CXT74ZlgGe6_JY_1olB1XN4rF0dxEuIIF-xsYjHgg/edit?usp=sharing"",""กปร!J59"")"),10000)</f>
        <v>10000</v>
      </c>
      <c r="M141" s="361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7"/>
      <c r="K142" s="48"/>
      <c r="L142" s="60"/>
      <c r="M142" s="60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112">
        <v>0</v>
      </c>
      <c r="K143" s="113"/>
      <c r="L143" s="114"/>
      <c r="M143" s="114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14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20210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20210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IFERROR(__xludf.DUMMYFUNCTION("IMPORTRANGE(""https://docs.google.com/spreadsheets/d/1C3CXT74ZlgGe6_JY_1olB1XN4rF0dxEuIIF-xsYjHgg/edit?usp=sharing"",""พรบ!AY59"")"),20210)</f>
        <v>20210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14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1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/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IFERROR(__xludf.DUMMYFUNCTION("IMPORTRANGE(""https://docs.google.com/spreadsheets/d/1C3CXT74ZlgGe6_JY_1olB1XN4rF0dxEuIIF-xsYjHgg/edit?usp=sharing"",""พรบ!BA59"")"),14)</f>
        <v>14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/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20</v>
      </c>
      <c r="J169" s="177">
        <f>+J180</f>
        <v>0</v>
      </c>
      <c r="K169" s="178">
        <f ca="1">IF(I169&gt;0,J169*100/I169,0)</f>
        <v>0</v>
      </c>
      <c r="L169" s="179">
        <f ca="1">L170+L171</f>
        <v>71400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71400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47"/>
      <c r="K172" s="48"/>
      <c r="L172" s="52">
        <f ca="1">IFERROR(__xludf.DUMMYFUNCTION("IMPORTRANGE(""https://docs.google.com/spreadsheets/d/1C3CXT74ZlgGe6_JY_1olB1XN4rF0dxEuIIF-xsYjHgg/edit?usp=sharing"",""พรบ!BD59"")"),0)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47"/>
      <c r="K173" s="48"/>
      <c r="L173" s="52">
        <f ca="1">IFERROR(__xludf.DUMMYFUNCTION("IMPORTRANGE(""https://docs.google.com/spreadsheets/d/1C3CXT74ZlgGe6_JY_1olB1XN4rF0dxEuIIF-xsYjHgg/edit?usp=sharing"",""พรบ!BE59"")"),71400)</f>
        <v>71400</v>
      </c>
      <c r="M173" s="53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v>1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v>0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v>0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v>0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IFERROR(__xludf.DUMMYFUNCTION("IMPORTRANGE(""https://docs.google.com/spreadsheets/d/1C3CXT74ZlgGe6_JY_1olB1XN4rF0dxEuIIF-xsYjHgg/edit?usp=sharing"",""พรบ!BF59"")"),1)</f>
        <v>1</v>
      </c>
      <c r="J179" s="67">
        <v>0</v>
      </c>
      <c r="K179" s="48">
        <f t="shared" ref="K179:K182" ca="1" si="41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IFERROR(__xludf.DUMMYFUNCTION("IMPORTRANGE(""https://docs.google.com/spreadsheets/d/1C3CXT74ZlgGe6_JY_1olB1XN4rF0dxEuIIF-xsYjHgg/edit?usp=sharing"",""พรบ!BG59"")"),20)</f>
        <v>20</v>
      </c>
      <c r="J180" s="67">
        <v>0</v>
      </c>
      <c r="K180" s="48">
        <f t="shared" ca="1" si="41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IFERROR(__xludf.DUMMYFUNCTION("IMPORTRANGE(""https://docs.google.com/spreadsheets/d/1C3CXT74ZlgGe6_JY_1olB1XN4rF0dxEuIIF-xsYjHgg/edit?usp=sharing"",""พรบ!BH59"")"),20)</f>
        <v>20</v>
      </c>
      <c r="J181" s="67">
        <v>0</v>
      </c>
      <c r="K181" s="48">
        <f t="shared" ca="1" si="41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IFERROR(__xludf.DUMMYFUNCTION("IMPORTRANGE(""https://docs.google.com/spreadsheets/d/1C3CXT74ZlgGe6_JY_1olB1XN4rF0dxEuIIF-xsYjHgg/edit?usp=sharing"",""พรบ!BI59"")"),1)</f>
        <v>1</v>
      </c>
      <c r="J182" s="67">
        <v>0</v>
      </c>
      <c r="K182" s="48">
        <f t="shared" ca="1" si="41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v>0</v>
      </c>
      <c r="K183" s="48"/>
      <c r="L183" s="60"/>
      <c r="M183" s="60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112">
        <v>0</v>
      </c>
      <c r="K184" s="113"/>
      <c r="L184" s="114"/>
      <c r="M184" s="114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20</v>
      </c>
      <c r="J185" s="177">
        <f>+J195</f>
        <v>0</v>
      </c>
      <c r="K185" s="178">
        <f ca="1">IF(I185&gt;0,J185*100/I185,0)</f>
        <v>0</v>
      </c>
      <c r="L185" s="179">
        <f ca="1">L186+L187</f>
        <v>183600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183600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IFERROR(__xludf.DUMMYFUNCTION("IMPORTRANGE(""https://docs.google.com/spreadsheets/d/1C3CXT74ZlgGe6_JY_1olB1XN4rF0dxEuIIF-xsYjHgg/edit?usp=sharing"",""พรบ!BK59"")"),0)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IFERROR(__xludf.DUMMYFUNCTION("IMPORTRANGE(""https://docs.google.com/spreadsheets/d/1C3CXT74ZlgGe6_JY_1olB1XN4rF0dxEuIIF-xsYjHgg/edit?usp=sharing"",""พรบ!BL59"")"),183600)</f>
        <v>183600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1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0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IFERROR(__xludf.DUMMYFUNCTION("IMPORTRANGE(""https://docs.google.com/spreadsheets/d/1C3CXT74ZlgGe6_JY_1olB1XN4rF0dxEuIIF-xsYjHgg/edit?usp=sharing"",""พรบ!BM59"")"),20)</f>
        <v>20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30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95360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95360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47"/>
      <c r="K203" s="48"/>
      <c r="L203" s="52">
        <f ca="1">IFERROR(__xludf.DUMMYFUNCTION("IMPORTRANGE(""https://docs.google.com/spreadsheets/d/1C3CXT74ZlgGe6_JY_1olB1XN4rF0dxEuIIF-xsYjHgg/edit?usp=sharing"",""พรบ!BP59"")"),95360)</f>
        <v>95360</v>
      </c>
      <c r="M203" s="53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47"/>
      <c r="K204" s="48"/>
      <c r="L204" s="60"/>
      <c r="M204" s="60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7">
        <v>1</v>
      </c>
      <c r="K205" s="48"/>
      <c r="L205" s="60"/>
      <c r="M205" s="60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7">
        <v>0</v>
      </c>
      <c r="K206" s="48"/>
      <c r="L206" s="60" t="s">
        <v>21</v>
      </c>
      <c r="M206" s="60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7">
        <v>0</v>
      </c>
      <c r="K207" s="48"/>
      <c r="L207" s="60"/>
      <c r="M207" s="60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7">
        <v>0</v>
      </c>
      <c r="K208" s="48"/>
      <c r="L208" s="60"/>
      <c r="M208" s="60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IFERROR(__xludf.DUMMYFUNCTION("IMPORTRANGE(""https://docs.google.com/spreadsheets/d/1C3CXT74ZlgGe6_JY_1olB1XN4rF0dxEuIIF-xsYjHgg/edit?usp=sharing"",""พรบ!BQ59"")"),30)</f>
        <v>30</v>
      </c>
      <c r="J209" s="67">
        <v>0</v>
      </c>
      <c r="K209" s="48">
        <f ca="1">IF(I209&gt;0,J209*100/I209,0)</f>
        <v>0</v>
      </c>
      <c r="L209" s="60"/>
      <c r="M209" s="60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48"/>
      <c r="L210" s="60"/>
      <c r="M210" s="60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IFERROR(__xludf.DUMMYFUNCTION("IMPORTRANGE(""https://docs.google.com/spreadsheets/d/1C3CXT74ZlgGe6_JY_1olB1XN4rF0dxEuIIF-xsYjHgg/edit?usp=sharing"",""พรบ!BR59"")"),30)</f>
        <v>30</v>
      </c>
      <c r="J211" s="67">
        <v>0</v>
      </c>
      <c r="K211" s="48">
        <f ca="1">IF(I211&gt;0,J211*100/I211,0)</f>
        <v>0</v>
      </c>
      <c r="L211" s="60"/>
      <c r="M211" s="60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7"/>
      <c r="K212" s="48"/>
      <c r="L212" s="60"/>
      <c r="M212" s="60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187">
        <v>0</v>
      </c>
      <c r="K213" s="48"/>
      <c r="L213" s="60"/>
      <c r="M213" s="60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3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264600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264600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47"/>
      <c r="K218" s="48"/>
      <c r="L218" s="52">
        <f ca="1">IFERROR(__xludf.DUMMYFUNCTION("IMPORTRANGE(""https://docs.google.com/spreadsheets/d/1C3CXT74ZlgGe6_JY_1olB1XN4rF0dxEuIIF-xsYjHgg/edit?usp=sharing"",""พรบ!BU59"")"),264600)</f>
        <v>264600</v>
      </c>
      <c r="M218" s="53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47"/>
      <c r="K219" s="48"/>
      <c r="L219" s="60"/>
      <c r="M219" s="60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7">
        <v>1</v>
      </c>
      <c r="K220" s="48"/>
      <c r="L220" s="60"/>
      <c r="M220" s="60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7">
        <v>0</v>
      </c>
      <c r="K221" s="48"/>
      <c r="L221" s="60" t="s">
        <v>21</v>
      </c>
      <c r="M221" s="60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7">
        <v>0</v>
      </c>
      <c r="K222" s="48"/>
      <c r="L222" s="60"/>
      <c r="M222" s="60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7">
        <v>0</v>
      </c>
      <c r="K223" s="48"/>
      <c r="L223" s="60"/>
      <c r="M223" s="60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IFERROR(__xludf.DUMMYFUNCTION("IMPORTRANGE(""https://docs.google.com/spreadsheets/d/1C3CXT74ZlgGe6_JY_1olB1XN4rF0dxEuIIF-xsYjHgg/edit?usp=sharing"",""พรบ!BV59"")"),3)</f>
        <v>3</v>
      </c>
      <c r="J224" s="67">
        <v>0</v>
      </c>
      <c r="K224" s="48">
        <f ca="1">IF(I224&gt;0,J224*100/I224,0)</f>
        <v>0</v>
      </c>
      <c r="L224" s="60"/>
      <c r="M224" s="60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7"/>
      <c r="K225" s="48"/>
      <c r="L225" s="60"/>
      <c r="M225" s="60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84">
        <v>0</v>
      </c>
      <c r="K226" s="48"/>
      <c r="L226" s="60"/>
      <c r="M226" s="60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220</v>
      </c>
      <c r="J228" s="197">
        <f ca="1">J240</f>
        <v>0</v>
      </c>
      <c r="K228" s="178">
        <f ca="1">IF(I228&gt;0,J228*100/I228,0)</f>
        <v>0</v>
      </c>
      <c r="L228" s="179">
        <f ca="1">L229+L230</f>
        <v>1010640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1010640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IFERROR(__xludf.DUMMYFUNCTION("IMPORTRANGE(""https://docs.google.com/spreadsheets/d/1C3CXT74ZlgGe6_JY_1olB1XN4rF0dxEuIIF-xsYjHgg/edit?usp=sharing"",""พรบ!BX59"")"),629200)</f>
        <v>629200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IFERROR(__xludf.DUMMYFUNCTION("IMPORTRANGE(""https://docs.google.com/spreadsheets/d/1C3CXT74ZlgGe6_JY_1olB1XN4rF0dxEuIIF-xsYjHgg/edit?usp=sharing"",""พรบ!BY59"")"),381440)</f>
        <v>381440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IFERROR(__xludf.DUMMYFUNCTION("IMPORTRANGE(""https://docs.google.com/spreadsheets/d/1AGHcLOeeYFL3K4b9R1dSzyJy00PE_ra89DNTVfnxSWM/edit?usp=sharing"",""รวมที่ทำกิน!J48"")"),1)</f>
        <v>1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IFERROR(__xludf.DUMMYFUNCTION("IMPORTRANGE(""https://docs.google.com/spreadsheets/d/1C3CXT74ZlgGe6_JY_1olB1XN4rF0dxEuIIF-xsYjHgg/edit?usp=sharing"",""พรบ!BZ59"")"),1960)</f>
        <v>1960</v>
      </c>
      <c r="J235" s="66">
        <f ca="1">IFERROR(__xludf.DUMMYFUNCTION("IMPORTRANGE(""https://docs.google.com/spreadsheets/d/1AGHcLOeeYFL3K4b9R1dSzyJy00PE_ra89DNTVfnxSWM/edit?usp=sharing"",""รวมที่ทำกิน!L48"")"),12.44)</f>
        <v>12.44</v>
      </c>
      <c r="K235" s="200">
        <f t="shared" ca="1" si="52"/>
        <v>0.63469387755102036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IFERROR(__xludf.DUMMYFUNCTION("IMPORTRANGE(""https://docs.google.com/spreadsheets/d/1C3CXT74ZlgGe6_JY_1olB1XN4rF0dxEuIIF-xsYjHgg/edit?usp=sharing"",""พรบ!CA59"")"),220)</f>
        <v>220</v>
      </c>
      <c r="J236" s="66">
        <f ca="1">IFERROR(__xludf.DUMMYFUNCTION("IMPORTRANGE(""https://docs.google.com/spreadsheets/d/1AGHcLOeeYFL3K4b9R1dSzyJy00PE_ra89DNTVfnxSWM/edit?usp=sharing"",""รวมที่ทำกิน!O48"")"),1)</f>
        <v>1</v>
      </c>
      <c r="K236" s="200">
        <f t="shared" ca="1" si="52"/>
        <v>0.45454545454545453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IFERROR(__xludf.DUMMYFUNCTION("IMPORTRANGE(""https://docs.google.com/spreadsheets/d/1AGHcLOeeYFL3K4b9R1dSzyJy00PE_ra89DNTVfnxSWM/edit?usp=sharing"",""รวมที่ทำกิน!Q48"")"),12.44)</f>
        <v>12.44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IFERROR(__xludf.DUMMYFUNCTION("IMPORTRANGE(""https://docs.google.com/spreadsheets/d/1C3CXT74ZlgGe6_JY_1olB1XN4rF0dxEuIIF-xsYjHgg/edit?usp=sharing"",""พรบ!CB59"")"),220)</f>
        <v>220</v>
      </c>
      <c r="J238" s="66">
        <f ca="1">IFERROR(__xludf.DUMMYFUNCTION("IMPORTRANGE(""https://docs.google.com/spreadsheets/d/1AGHcLOeeYFL3K4b9R1dSzyJy00PE_ra89DNTVfnxSWM/edit?usp=sharing"",""รวมที่ทำกิน!S48"")"),0)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IFERROR(__xludf.DUMMYFUNCTION("IMPORTRANGE(""https://docs.google.com/spreadsheets/d/1AGHcLOeeYFL3K4b9R1dSzyJy00PE_ra89DNTVfnxSWM/edit?usp=sharing"",""รวมที่ทำกิน!U48"")"),0)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IFERROR(__xludf.DUMMYFUNCTION("IMPORTRANGE(""https://docs.google.com/spreadsheets/d/1C3CXT74ZlgGe6_JY_1olB1XN4rF0dxEuIIF-xsYjHgg/edit?usp=sharing"",""พรบ!CC59"")"),220)</f>
        <v>220</v>
      </c>
      <c r="J240" s="66">
        <f ca="1">IFERROR(__xludf.DUMMYFUNCTION("IMPORTRANGE(""https://docs.google.com/spreadsheets/d/1AGHcLOeeYFL3K4b9R1dSzyJy00PE_ra89DNTVfnxSWM/edit?usp=sharing"",""รวมที่ทำกิน!W48"")"),0)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IFERROR(__xludf.DUMMYFUNCTION("IMPORTRANGE(""https://docs.google.com/spreadsheets/d/1AGHcLOeeYFL3K4b9R1dSzyJy00PE_ra89DNTVfnxSWM/edit?usp=sharing"",""รวมที่ทำกิน!Y48"")"),0)</f>
        <v>0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3142638</v>
      </c>
      <c r="M242" s="213">
        <f t="shared" si="53"/>
        <v>0</v>
      </c>
      <c r="N242" s="213">
        <f ca="1">+IF(L242&gt;0,M242*100/L242,0)</f>
        <v>0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150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380760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30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380760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IFERROR(__xludf.DUMMYFUNCTION("IMPORTRANGE(""https://docs.google.com/spreadsheets/d/1C3CXT74ZlgGe6_JY_1olB1XN4rF0dxEuIIF-xsYjHgg/edit?usp=sharing"",""งบกองทุน!d59"")"),0)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IFERROR(__xludf.DUMMYFUNCTION("IMPORTRANGE(""https://docs.google.com/spreadsheets/d/1C3CXT74ZlgGe6_JY_1olB1XN4rF0dxEuIIF-xsYjHgg/edit?usp=sharing"",""งบกองทุน!e59"")"),380760)</f>
        <v>380760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1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1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1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233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IFERROR(__xludf.DUMMYFUNCTION("IMPORTRANGE(""https://docs.google.com/spreadsheets/d/1C3CXT74ZlgGe6_JY_1olB1XN4rF0dxEuIIF-xsYjHgg/edit?usp=sharing"",""งบกองทุน!f59"")"),0)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314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233" t="s">
        <v>118</v>
      </c>
      <c r="H262" s="65" t="s">
        <v>103</v>
      </c>
      <c r="I262" s="66">
        <f t="shared" ref="I262:J262" ca="1" si="59">SUM(I264,I266)</f>
        <v>150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IFERROR(__xludf.DUMMYFUNCTION("IMPORTRANGE(""https://docs.google.com/spreadsheets/d/1C3CXT74ZlgGe6_JY_1olB1XN4rF0dxEuIIF-xsYjHgg/edit?usp=sharing"",""งบกองทุน!H59"")"),30)</f>
        <v>30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IFERROR(__xludf.DUMMYFUNCTION("IMPORTRANGE(""https://docs.google.com/spreadsheets/d/1C3CXT74ZlgGe6_JY_1olB1XN4rF0dxEuIIF-xsYjHgg/edit?usp=sharing"",""งบกองทุน!i59"")"),0)</f>
        <v>0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30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IFERROR(__xludf.DUMMYFUNCTION("IMPORTRANGE(""https://docs.google.com/spreadsheets/d/1C3CXT74ZlgGe6_JY_1olB1XN4rF0dxEuIIF-xsYjHgg/edit?usp=sharing"",""งบกองทุน!k59"")"),150)</f>
        <v>150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30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233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IFERROR(__xludf.DUMMYFUNCTION("IMPORTRANGE(""https://docs.google.com/spreadsheets/d/1C3CXT74ZlgGe6_JY_1olB1XN4rF0dxEuIIF-xsYjHgg/edit?usp=sharing"",""งบกองทุน!m59"")"),0)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314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150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IFERROR(__xludf.DUMMYFUNCTION("IMPORTRANGE(""https://docs.google.com/spreadsheets/d/1C3CXT74ZlgGe6_JY_1olB1XN4rF0dxEuIIF-xsYjHgg/edit?usp=sharing"",""งบกองทุน!o59"")"),150)</f>
        <v>150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IFERROR(__xludf.DUMMYFUNCTION("IMPORTRANGE(""https://docs.google.com/spreadsheets/d/1C3CXT74ZlgGe6_JY_1olB1XN4rF0dxEuIIF-xsYjHgg/edit?usp=sharing"",""งบกองทุน!p59"")"),0)</f>
        <v>0</v>
      </c>
      <c r="J272" s="66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1000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1028520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100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1028520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IFERROR(__xludf.DUMMYFUNCTION("IMPORTRANGE(""https://docs.google.com/spreadsheets/d/1C3CXT74ZlgGe6_JY_1olB1XN4rF0dxEuIIF-xsYjHgg/edit?usp=sharing"",""งบกองทุน!r59"")"),0)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IFERROR(__xludf.DUMMYFUNCTION("IMPORTRANGE(""https://docs.google.com/spreadsheets/d/1C3CXT74ZlgGe6_JY_1olB1XN4rF0dxEuIIF-xsYjHgg/edit?usp=sharing"",""งบกองทุน!s59"")"),1028520)</f>
        <v>1028520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1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0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IFERROR(__xludf.DUMMYFUNCTION("IMPORTRANGE(""https://docs.google.com/spreadsheets/d/1C3CXT74ZlgGe6_JY_1olB1XN4rF0dxEuIIF-xsYjHgg/edit?usp=sharing"",""งบกองทุน!v59"")"),100)</f>
        <v>100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IFERROR(__xludf.DUMMYFUNCTION("IMPORTRANGE(""https://docs.google.com/spreadsheets/d/1C3CXT74ZlgGe6_JY_1olB1XN4rF0dxEuIIF-xsYjHgg/edit?usp=sharing"",""งบกองทุน!w59"")"),1000)</f>
        <v>1000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IFERROR(__xludf.DUMMYFUNCTION("IMPORTRANGE(""https://docs.google.com/spreadsheets/d/1C3CXT74ZlgGe6_JY_1olB1XN4rF0dxEuIIF-xsYjHgg/edit?usp=sharing"",""งบกองทุน!x59"")"),100)</f>
        <v>100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144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169190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48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169190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IFERROR(__xludf.DUMMYFUNCTION("IMPORTRANGE(""https://docs.google.com/spreadsheets/d/1C3CXT74ZlgGe6_JY_1olB1XN4rF0dxEuIIF-xsYjHgg/edit?usp=sharing"",""งบกองทุน!z59"")"),0)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IFERROR(__xludf.DUMMYFUNCTION("IMPORTRANGE(""https://docs.google.com/spreadsheets/d/1C3CXT74ZlgGe6_JY_1olB1XN4rF0dxEuIIF-xsYjHgg/edit?usp=sharing"",""งบกองทุน!aa59"")"),169190)</f>
        <v>169190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1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48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IFERROR(__xludf.DUMMYFUNCTION("IMPORTRANGE(""https://docs.google.com/spreadsheets/d/1C3CXT74ZlgGe6_JY_1olB1XN4rF0dxEuIIF-xsYjHgg/edit?usp=sharing"",""งบกองทุน!ae59"")"),13)</f>
        <v>13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IFERROR(__xludf.DUMMYFUNCTION("IMPORTRANGE(""https://docs.google.com/spreadsheets/d/1C3CXT74ZlgGe6_JY_1olB1XN4rF0dxEuIIF-xsYjHgg/edit?usp=sharing"",""งบกองทุน!ad59"")"),39)</f>
        <v>39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IFERROR(__xludf.DUMMYFUNCTION("IMPORTRANGE(""https://docs.google.com/spreadsheets/d/1C3CXT74ZlgGe6_JY_1olB1XN4rF0dxEuIIF-xsYjHgg/edit?usp=sharing"",""งบกองทุน!af59"")"),13)</f>
        <v>13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IFERROR(__xludf.DUMMYFUNCTION("IMPORTRANGE(""https://docs.google.com/spreadsheets/d/1C3CXT74ZlgGe6_JY_1olB1XN4rF0dxEuIIF-xsYjHgg/edit?usp=sharing"",""งบกองทุน!ag59"")"),13)</f>
        <v>13</v>
      </c>
      <c r="J315" s="247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IFERROR(__xludf.DUMMYFUNCTION("IMPORTRANGE(""https://docs.google.com/spreadsheets/d/1C3CXT74ZlgGe6_JY_1olB1XN4rF0dxEuIIF-xsYjHgg/edit?usp=sharing"",""งบกองทุน!ai59"")"),25)</f>
        <v>25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IFERROR(__xludf.DUMMYFUNCTION("IMPORTRANGE(""https://docs.google.com/spreadsheets/d/1C3CXT74ZlgGe6_JY_1olB1XN4rF0dxEuIIF-xsYjHgg/edit?usp=sharing"",""งบกองทุน!ah59"")"),75)</f>
        <v>75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IFERROR(__xludf.DUMMYFUNCTION("IMPORTRANGE(""https://docs.google.com/spreadsheets/d/1C3CXT74ZlgGe6_JY_1olB1XN4rF0dxEuIIF-xsYjHgg/edit?usp=sharing"",""งบกองทุน!aj59"")"),25)</f>
        <v>25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IFERROR(__xludf.DUMMYFUNCTION("IMPORTRANGE(""https://docs.google.com/spreadsheets/d/1C3CXT74ZlgGe6_JY_1olB1XN4rF0dxEuIIF-xsYjHgg/edit?usp=sharing"",""งบกองทุน!ak59"")"),25)</f>
        <v>25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IFERROR(__xludf.DUMMYFUNCTION("IMPORTRANGE(""https://docs.google.com/spreadsheets/d/1C3CXT74ZlgGe6_JY_1olB1XN4rF0dxEuIIF-xsYjHgg/edit?usp=sharing"",""งบกองทุน!al59"")"),25)</f>
        <v>25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IFERROR(__xludf.DUMMYFUNCTION("IMPORTRANGE(""https://docs.google.com/spreadsheets/d/1C3CXT74ZlgGe6_JY_1olB1XN4rF0dxEuIIF-xsYjHgg/edit?usp=sharing"",""งบกองทุน!an59"")"),10)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IFERROR(__xludf.DUMMYFUNCTION("IMPORTRANGE(""https://docs.google.com/spreadsheets/d/1C3CXT74ZlgGe6_JY_1olB1XN4rF0dxEuIIF-xsYjHgg/edit?usp=sharing"",""งบกองทุน!am59"")"),30)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IFERROR(__xludf.DUMMYFUNCTION("IMPORTRANGE(""https://docs.google.com/spreadsheets/d/1C3CXT74ZlgGe6_JY_1olB1XN4rF0dxEuIIF-xsYjHgg/edit?usp=sharing"",""งบกองทุน!ao59"")"),10)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IFERROR(__xludf.DUMMYFUNCTION("IMPORTRANGE(""https://docs.google.com/spreadsheets/d/1C3CXT74ZlgGe6_JY_1olB1XN4rF0dxEuIIF-xsYjHgg/edit?usp=sharing"",""งบกองทุน!ap59"")"),10)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38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IFERROR(__xludf.DUMMYFUNCTION("IMPORTRANGE(""https://docs.google.com/spreadsheets/d/1C3CXT74ZlgGe6_JY_1olB1XN4rF0dxEuIIF-xsYjHgg/edit?usp=sharing"",""งบกองทุน!ar59"")"),13)</f>
        <v>13</v>
      </c>
      <c r="J326" s="67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IFERROR(__xludf.DUMMYFUNCTION("IMPORTRANGE(""https://docs.google.com/spreadsheets/d/1C3CXT74ZlgGe6_JY_1olB1XN4rF0dxEuIIF-xsYjHgg/edit?usp=sharing"",""งบกองทุน!as59"")"),25)</f>
        <v>25</v>
      </c>
      <c r="J327" s="66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40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139000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139000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IFERROR(__xludf.DUMMYFUNCTION("IMPORTRANGE(""https://docs.google.com/spreadsheets/d/1C3CXT74ZlgGe6_JY_1olB1XN4rF0dxEuIIF-xsYjHgg/edit?usp=sharing"",""งบกองทุน!au59"")"),0)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IFERROR(__xludf.DUMMYFUNCTION("IMPORTRANGE(""https://docs.google.com/spreadsheets/d/1C3CXT74ZlgGe6_JY_1olB1XN4rF0dxEuIIF-xsYjHgg/edit?usp=sharing"",""งบกองทุน!av59"")"),139000)</f>
        <v>139000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1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40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IFERROR(__xludf.DUMMYFUNCTION("IMPORTRANGE(""https://docs.google.com/spreadsheets/d/1C3CXT74ZlgGe6_JY_1olB1XN4rF0dxEuIIF-xsYjHgg/edit?usp=sharing"",""งบกองทุน!ay59"")"),40)</f>
        <v>40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IFERROR(__xludf.DUMMYFUNCTION("IMPORTRANGE(""https://docs.google.com/spreadsheets/d/1C3CXT74ZlgGe6_JY_1olB1XN4rF0dxEuIIF-xsYjHgg/edit?usp=sharing"",""งบกองทุน!az59"")"),0)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IFERROR(__xludf.DUMMYFUNCTION("IMPORTRANGE(""https://docs.google.com/spreadsheets/d/1C3CXT74ZlgGe6_JY_1olB1XN4rF0dxEuIIF-xsYjHgg/edit?usp=sharing"",""งบกองทุน!Ba59"")"),0)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180799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1031428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1031428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IFERROR(__xludf.DUMMYFUNCTION("IMPORTRANGE(""https://docs.google.com/spreadsheets/d/1C3CXT74ZlgGe6_JY_1olB1XN4rF0dxEuIIF-xsYjHgg/edit?usp=sharing"",""งบกองทุน!Bc59"")"),0)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IFERROR(__xludf.DUMMYFUNCTION("IMPORTRANGE(""https://docs.google.com/spreadsheets/d/1C3CXT74ZlgGe6_JY_1olB1XN4rF0dxEuIIF-xsYjHgg/edit?usp=sharing"",""งบกองทุน!Bd59"")"),1031428)</f>
        <v>1031428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IFERROR(__xludf.DUMMYFUNCTION("IMPORTRANGE(""https://docs.google.com/spreadsheets/d/1C3CXT74ZlgGe6_JY_1olB1XN4rF0dxEuIIF-xsYjHgg/edit?usp=sharing"",""งบกองทุน!BE59"")"),180799)</f>
        <v>180799</v>
      </c>
      <c r="J359" s="136">
        <f>+J376</f>
        <v>0</v>
      </c>
      <c r="K359" s="137">
        <f t="shared" ref="K359:K408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IFERROR(__xludf.DUMMYFUNCTION("IMPORTRANGE(""https://docs.google.com/spreadsheets/d/1C3CXT74ZlgGe6_JY_1olB1XN4rF0dxEuIIF-xsYjHgg/edit?usp=sharing"",""งบกองทุน!BE59"")"),180799)</f>
        <v>180799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IFERROR(__xludf.DUMMYFUNCTION("IMPORTRANGE(""https://docs.google.com/spreadsheets/d/1C3CXT74ZlgGe6_JY_1olB1XN4rF0dxEuIIF-xsYjHgg/edit?usp=sharing"",""งบกองทุน!Bf59"")"),13419)</f>
        <v>13419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180799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265">
        <f ca="1">I361</f>
        <v>13419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180799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265">
        <f ca="1">I361</f>
        <v>13419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IFERROR(__xludf.DUMMYFUNCTION("IMPORTRANGE(""https://docs.google.com/spreadsheets/d/1C3CXT74ZlgGe6_JY_1olB1XN4rF0dxEuIIF-xsYjHgg/edit?usp=sharing"",""งบกองทุน!cd59"")"),0)</f>
        <v>0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IFERROR(__xludf.DUMMYFUNCTION("IMPORTRANGE(""https://docs.google.com/spreadsheets/d/1C3CXT74ZlgGe6_JY_1olB1XN4rF0dxEuIIF-xsYjHgg/edit?usp=sharing"",""งบกองทุน!cd59"")"),0)</f>
        <v>0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IFERROR(__xludf.DUMMYFUNCTION("IMPORTRANGE(""https://docs.google.com/spreadsheets/d/1C3CXT74ZlgGe6_JY_1olB1XN4rF0dxEuIIF-xsYjHgg/edit?usp=sharing"",""งบกองทุน!cc59"")"),0)</f>
        <v>0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IFERROR(__xludf.DUMMYFUNCTION("IMPORTRANGE(""https://docs.google.com/spreadsheets/d/1C3CXT74ZlgGe6_JY_1olB1XN4rF0dxEuIIF-xsYjHgg/edit?usp=sharing"",""งบกองทุน!cz59"")"),0)</f>
        <v>0</v>
      </c>
      <c r="J409" s="136">
        <v>0</v>
      </c>
      <c r="K409" s="137"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IFERROR(__xludf.DUMMYFUNCTION("IMPORTRANGE(""https://docs.google.com/spreadsheets/d/1C3CXT74ZlgGe6_JY_1olB1XN4rF0dxEuIIF-xsYjHgg/edit?usp=sharing"",""งบกองทุน!cz59"")"),0)</f>
        <v>0</v>
      </c>
      <c r="J410" s="149">
        <v>0</v>
      </c>
      <c r="K410" s="146"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IFERROR(__xludf.DUMMYFUNCTION("IMPORTRANGE(""https://docs.google.com/spreadsheets/d/1C3CXT74ZlgGe6_JY_1olB1XN4rF0dxEuIIF-xsYjHgg/edit?usp=sharing"",""งบกองทุน!cy59"")"),0)</f>
        <v>0</v>
      </c>
      <c r="J411" s="149">
        <v>0</v>
      </c>
      <c r="K411" s="146"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IFERROR(__xludf.DUMMYFUNCTION("IMPORTRANGE(""https://docs.google.com/spreadsheets/d/1C3CXT74ZlgGe6_JY_1olB1XN4rF0dxEuIIF-xsYjHgg/edit?usp=sharing"",""งบกองทุน!db59"")"),0)</f>
        <v>0</v>
      </c>
      <c r="K412" s="48"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IFERROR(__xludf.DUMMYFUNCTION("IMPORTRANGE(""https://docs.google.com/spreadsheets/d/1C3CXT74ZlgGe6_JY_1olB1XN4rF0dxEuIIF-xsYjHgg/edit?usp=sharing"",""งบกองทุน!da59"")"),0)</f>
        <v>0</v>
      </c>
      <c r="K413" s="48"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IFERROR(__xludf.DUMMYFUNCTION("IMPORTRANGE(""https://docs.google.com/spreadsheets/d/1C3CXT74ZlgGe6_JY_1olB1XN4rF0dxEuIIF-xsYjHgg/edit?usp=sharing"",""งบกองทุน!dd59"")"),0)</f>
        <v>0</v>
      </c>
      <c r="K414" s="48"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IFERROR(__xludf.DUMMYFUNCTION("IMPORTRANGE(""https://docs.google.com/spreadsheets/d/1C3CXT74ZlgGe6_JY_1olB1XN4rF0dxEuIIF-xsYjHgg/edit?usp=sharing"",""งบกองทุน!dc59"")"),0)</f>
        <v>0</v>
      </c>
      <c r="K415" s="48"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IFERROR(__xludf.DUMMYFUNCTION("IMPORTRANGE(""https://docs.google.com/spreadsheets/d/1C3CXT74ZlgGe6_JY_1olB1XN4rF0dxEuIIF-xsYjHgg/edit?usp=sharing"",""งบกองทุน!df59"")"),0)</f>
        <v>0</v>
      </c>
      <c r="K416" s="48"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IFERROR(__xludf.DUMMYFUNCTION("IMPORTRANGE(""https://docs.google.com/spreadsheets/d/1C3CXT74ZlgGe6_JY_1olB1XN4rF0dxEuIIF-xsYjHgg/edit?usp=sharing"",""งบกองทุน!de59"")"),0)</f>
        <v>0</v>
      </c>
      <c r="K417" s="48"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4">
        <v>0</v>
      </c>
      <c r="J425" s="300">
        <v>0</v>
      </c>
      <c r="K425" s="301"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28</v>
      </c>
      <c r="J426" s="257">
        <f t="shared" si="91"/>
        <v>0</v>
      </c>
      <c r="K426" s="258">
        <f ca="1">IF(I426&gt;0,J426*100/I426,0)</f>
        <v>0</v>
      </c>
      <c r="L426" s="259">
        <f t="shared" ref="L426:M426" ca="1" si="92">SUM(L427:L428)</f>
        <v>39440</v>
      </c>
      <c r="M426" s="259">
        <f t="shared" si="92"/>
        <v>0</v>
      </c>
      <c r="N426" s="259">
        <f t="shared" ref="N426:N430" ca="1" si="93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39440</v>
      </c>
      <c r="M428" s="52">
        <f t="shared" si="94"/>
        <v>0</v>
      </c>
      <c r="N428" s="52">
        <f t="shared" ca="1" si="93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IFERROR(__xludf.DUMMYFUNCTION("IMPORTRANGE(""https://docs.google.com/spreadsheets/d/1C3CXT74ZlgGe6_JY_1olB1XN4rF0dxEuIIF-xsYjHgg/edit?usp=sharing"",""งบกองทุน!dn59"")"),0)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IFERROR(__xludf.DUMMYFUNCTION("IMPORTRANGE(""https://docs.google.com/spreadsheets/d/1C3CXT74ZlgGe6_JY_1olB1XN4rF0dxEuIIF-xsYjHgg/edit?usp=sharing"",""งบกองทุน!do59"")"),39440)</f>
        <v>39440</v>
      </c>
      <c r="M430" s="52">
        <f>SUM(M431:M434)</f>
        <v>0</v>
      </c>
      <c r="N430" s="52">
        <f t="shared" ca="1" si="93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1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0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IFERROR(__xludf.DUMMYFUNCTION("IMPORTRANGE(""https://docs.google.com/spreadsheets/d/1C3CXT74ZlgGe6_JY_1olB1XN4rF0dxEuIIF-xsYjHgg/edit?usp=sharing"",""งบกองทุน!dq59"")"),28)</f>
        <v>28</v>
      </c>
      <c r="J440" s="67">
        <v>0</v>
      </c>
      <c r="K440" s="48">
        <f t="shared" ref="K440:K441" ca="1" si="95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IFERROR(__xludf.DUMMYFUNCTION("IMPORTRANGE(""https://docs.google.com/spreadsheets/d/1C3CXT74ZlgGe6_JY_1olB1XN4rF0dxEuIIF-xsYjHgg/edit?usp=sharing"",""งบกองทุน!dr59"")"),28)</f>
        <v>28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3000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198000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198000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IFERROR(__xludf.DUMMYFUNCTION("IMPORTRANGE(""https://docs.google.com/spreadsheets/d/1C3CXT74ZlgGe6_JY_1olB1XN4rF0dxEuIIF-xsYjHgg/edit?usp=sharing"",""งบกองทุน!dt59"")"),0)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IFERROR(__xludf.DUMMYFUNCTION("IMPORTRANGE(""https://docs.google.com/spreadsheets/d/1C3CXT74ZlgGe6_JY_1olB1XN4rF0dxEuIIF-xsYjHgg/edit?usp=sharing"",""งบกองทุน!du59"")"),198000)</f>
        <v>198000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3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3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3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3">
        <v>0</v>
      </c>
      <c r="N452" s="52"/>
    </row>
    <row r="453" spans="1:14" ht="21.75" customHeight="1" x14ac:dyDescent="0.55000000000000004">
      <c r="A453" s="229"/>
      <c r="B453" s="230"/>
      <c r="C453" s="230"/>
      <c r="D453" s="312"/>
      <c r="E453" s="313"/>
      <c r="F453" s="313" t="s">
        <v>186</v>
      </c>
      <c r="G453" s="314"/>
      <c r="H453" s="315" t="s">
        <v>103</v>
      </c>
      <c r="I453" s="66">
        <f ca="1">IFERROR(__xludf.DUMMYFUNCTION("IMPORTRANGE(""https://docs.google.com/spreadsheets/d/1C3CXT74ZlgGe6_JY_1olB1XN4rF0dxEuIIF-xsYjHgg/edit?usp=sharing"",""งบกองทุน!dw59"")"),3000)</f>
        <v>3000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52"/>
    </row>
    <row r="454" spans="1:14" ht="21.75" customHeight="1" x14ac:dyDescent="0.55000000000000004">
      <c r="A454" s="229"/>
      <c r="B454" s="230"/>
      <c r="C454" s="230"/>
      <c r="D454" s="312"/>
      <c r="E454" s="313"/>
      <c r="F454" s="313"/>
      <c r="G454" s="314"/>
      <c r="H454" s="315" t="s">
        <v>15</v>
      </c>
      <c r="I454" s="66">
        <f ca="1">IFERROR(__xludf.DUMMYFUNCTION("IMPORTRANGE(""https://docs.google.com/spreadsheets/d/1C3CXT74ZlgGe6_JY_1olB1XN4rF0dxEuIIF-xsYjHgg/edit?usp=sharing"",""งบกองทุน!dx59"")"),0)</f>
        <v>0</v>
      </c>
      <c r="J454" s="66">
        <v>0</v>
      </c>
      <c r="K454" s="232">
        <f t="shared" ca="1" si="100"/>
        <v>0</v>
      </c>
      <c r="L454" s="52"/>
      <c r="M454" s="52"/>
      <c r="N454" s="52"/>
    </row>
    <row r="455" spans="1:14" ht="21.75" customHeight="1" x14ac:dyDescent="0.55000000000000004">
      <c r="A455" s="229"/>
      <c r="B455" s="230"/>
      <c r="C455" s="230"/>
      <c r="D455" s="312"/>
      <c r="E455" s="313"/>
      <c r="F455" s="313" t="s">
        <v>187</v>
      </c>
      <c r="G455" s="314"/>
      <c r="H455" s="315" t="s">
        <v>103</v>
      </c>
      <c r="I455" s="66">
        <f ca="1">IFERROR(__xludf.DUMMYFUNCTION("IMPORTRANGE(""https://docs.google.com/spreadsheets/d/1C3CXT74ZlgGe6_JY_1olB1XN4rF0dxEuIIF-xsYjHgg/edit?usp=sharing"",""งบกองทุน!dy59"")"),0)</f>
        <v>0</v>
      </c>
      <c r="J455" s="66">
        <v>0</v>
      </c>
      <c r="K455" s="232">
        <f t="shared" ca="1" si="100"/>
        <v>0</v>
      </c>
      <c r="L455" s="52"/>
      <c r="M455" s="52"/>
      <c r="N455" s="52"/>
    </row>
    <row r="456" spans="1:14" ht="21.75" customHeight="1" x14ac:dyDescent="0.55000000000000004">
      <c r="A456" s="229"/>
      <c r="B456" s="230"/>
      <c r="C456" s="230"/>
      <c r="D456" s="312"/>
      <c r="E456" s="313"/>
      <c r="F456" s="313"/>
      <c r="G456" s="314"/>
      <c r="H456" s="315" t="s">
        <v>15</v>
      </c>
      <c r="I456" s="66">
        <f ca="1">IFERROR(__xludf.DUMMYFUNCTION("IMPORTRANGE(""https://docs.google.com/spreadsheets/d/1C3CXT74ZlgGe6_JY_1olB1XN4rF0dxEuIIF-xsYjHgg/edit?usp=sharing"",""งบกองทุน!dz59"")"),0)</f>
        <v>0</v>
      </c>
      <c r="J456" s="66">
        <v>0</v>
      </c>
      <c r="K456" s="232">
        <f t="shared" ca="1" si="100"/>
        <v>0</v>
      </c>
      <c r="L456" s="52"/>
      <c r="M456" s="52"/>
      <c r="N456" s="52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1900</v>
      </c>
      <c r="J457" s="226">
        <f>+J466</f>
        <v>530</v>
      </c>
      <c r="K457" s="227">
        <f t="shared" ca="1" si="100"/>
        <v>27.894736842105264</v>
      </c>
      <c r="L457" s="228">
        <f t="shared" ref="L457:M457" ca="1" si="101">SUM(L458:L459)</f>
        <v>138000</v>
      </c>
      <c r="M457" s="228">
        <f t="shared" si="101"/>
        <v>0</v>
      </c>
      <c r="N457" s="228">
        <f t="shared" ref="N457:N461" ca="1" si="102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138000</v>
      </c>
      <c r="M459" s="52">
        <f t="shared" si="103"/>
        <v>0</v>
      </c>
      <c r="N459" s="52">
        <f t="shared" ca="1" si="102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IFERROR(__xludf.DUMMYFUNCTION("IMPORTRANGE(""https://docs.google.com/spreadsheets/d/1C3CXT74ZlgGe6_JY_1olB1XN4rF0dxEuIIF-xsYjHgg/edit?usp=sharing"",""งบกองทุน!Eb59"")"),0)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IFERROR(__xludf.DUMMYFUNCTION("IMPORTRANGE(""https://docs.google.com/spreadsheets/d/1C3CXT74ZlgGe6_JY_1olB1XN4rF0dxEuIIF-xsYjHgg/edit?usp=sharing"",""งบกองทุน!Ec59"")"),138000)</f>
        <v>138000</v>
      </c>
      <c r="M461" s="52">
        <f>SUM(M462:M465)</f>
        <v>0</v>
      </c>
      <c r="N461" s="52">
        <f t="shared" ca="1" si="102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IFERROR(__xludf.DUMMYFUNCTION("IMPORTRANGE(""https://docs.google.com/spreadsheets/d/1C3CXT74ZlgGe6_JY_1olB1XN4rF0dxEuIIF-xsYjHgg/edit?usp=sharing"",""งบกองทุน!Ed59"")"),1900)</f>
        <v>1900</v>
      </c>
      <c r="J466" s="265">
        <f>+J469+J470+J471+J472</f>
        <v>530</v>
      </c>
      <c r="K466" s="79">
        <f ca="1">IF(I466&gt;0,J466*100/I466,0)</f>
        <v>27.894736842105264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530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0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IFERROR(__xludf.DUMMYFUNCTION("IMPORTRANGE(""https://docs.google.com/spreadsheets/d/1C3CXT74ZlgGe6_JY_1olB1XN4rF0dxEuIIF-xsYjHgg/edit?usp=sharing"",""งบกองทุน!Ek59"")"),0)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IFERROR(__xludf.DUMMYFUNCTION("IMPORTRANGE(""https://docs.google.com/spreadsheets/d/1C3CXT74ZlgGe6_JY_1olB1XN4rF0dxEuIIF-xsYjHgg/edit?usp=sharing"",""งบกองทุน!El59"")"),0)</f>
        <v>0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IFERROR(__xludf.DUMMYFUNCTION("IMPORTRANGE(""https://docs.google.com/spreadsheets/d/1C3CXT74ZlgGe6_JY_1olB1XN4rF0dxEuIIF-xsYjHgg/edit?usp=sharing"",""งบกองทุน!Em59"")"),0)</f>
        <v>0</v>
      </c>
      <c r="J482" s="66">
        <f ca="1">IFERROR(__xludf.DUMMYFUNCTION("IMPORTRANGE(""https://docs.google.com/spreadsheets/d/1AGHcLOeeYFL3K4b9R1dSzyJy00PE_ra89DNTVfnxSWM/edit?usp=sharing"",""รวมที่ชุมชน!G48"")"),0)</f>
        <v>0</v>
      </c>
      <c r="K482" s="48">
        <f t="shared" ref="K482:K489" ca="1" si="107">IF(I482&gt;0,J482*100/I482,0)</f>
        <v>0</v>
      </c>
      <c r="L482" s="60"/>
      <c r="M482" s="52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IFERROR(__xludf.DUMMYFUNCTION("IMPORTRANGE(""https://docs.google.com/spreadsheets/d/1C3CXT74ZlgGe6_JY_1olB1XN4rF0dxEuIIF-xsYjHgg/edit?usp=sharing"",""งบกองทุน!En59"")"),0)</f>
        <v>0</v>
      </c>
      <c r="J483" s="66">
        <f ca="1">IFERROR(__xludf.DUMMYFUNCTION("IMPORTRANGE(""https://docs.google.com/spreadsheets/d/1AGHcLOeeYFL3K4b9R1dSzyJy00PE_ra89DNTVfnxSWM/edit?usp=sharing"",""รวมที่ชุมชน!H48"")"),0)</f>
        <v>0</v>
      </c>
      <c r="K483" s="200">
        <f t="shared" ca="1" si="107"/>
        <v>0</v>
      </c>
      <c r="L483" s="60"/>
      <c r="M483" s="52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IFERROR(__xludf.DUMMYFUNCTION("IMPORTRANGE(""https://docs.google.com/spreadsheets/d/1C3CXT74ZlgGe6_JY_1olB1XN4rF0dxEuIIF-xsYjHgg/edit?usp=sharing"",""งบกองทุน!Eo59"")"),0)</f>
        <v>0</v>
      </c>
      <c r="J484" s="66">
        <f ca="1">IFERROR(__xludf.DUMMYFUNCTION("IMPORTRANGE(""https://docs.google.com/spreadsheets/d/1AGHcLOeeYFL3K4b9R1dSzyJy00PE_ra89DNTVfnxSWM/edit?usp=sharing"",""รวมที่ชุมชน!J48"")"),0)</f>
        <v>0</v>
      </c>
      <c r="K484" s="48">
        <f t="shared" ca="1" si="107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IFERROR(__xludf.DUMMYFUNCTION("IMPORTRANGE(""https://docs.google.com/spreadsheets/d/1C3CXT74ZlgGe6_JY_1olB1XN4rF0dxEuIIF-xsYjHgg/edit?usp=sharing"",""งบกองทุน!Ep59"")"),0)</f>
        <v>0</v>
      </c>
      <c r="J485" s="66">
        <f ca="1">IFERROR(__xludf.DUMMYFUNCTION("IMPORTRANGE(""https://docs.google.com/spreadsheets/d/1AGHcLOeeYFL3K4b9R1dSzyJy00PE_ra89DNTVfnxSWM/edit?usp=sharing"",""รวมที่ชุมชน!L48"")"),0)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IFERROR(__xludf.DUMMYFUNCTION("IMPORTRANGE(""https://docs.google.com/spreadsheets/d/1C3CXT74ZlgGe6_JY_1olB1XN4rF0dxEuIIF-xsYjHgg/edit?usp=sharing"",""งบกองทุน!Eq59"")"),0)</f>
        <v>0</v>
      </c>
      <c r="J486" s="66">
        <f ca="1">IFERROR(__xludf.DUMMYFUNCTION("IMPORTRANGE(""https://docs.google.com/spreadsheets/d/1AGHcLOeeYFL3K4b9R1dSzyJy00PE_ra89DNTVfnxSWM/edit?usp=sharing"",""รวมที่ชุมชน!S48"")"),0)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IFERROR(__xludf.DUMMYFUNCTION("IMPORTRANGE(""https://docs.google.com/spreadsheets/d/1C3CXT74ZlgGe6_JY_1olB1XN4rF0dxEuIIF-xsYjHgg/edit?usp=sharing"",""งบกองทุน!Er59"")"),0)</f>
        <v>0</v>
      </c>
      <c r="J487" s="66">
        <f ca="1">IFERROR(__xludf.DUMMYFUNCTION("IMPORTRANGE(""https://docs.google.com/spreadsheets/d/1AGHcLOeeYFL3K4b9R1dSzyJy00PE_ra89DNTVfnxSWM/edit?usp=sharing"",""รวมที่ชุมชน!U48"")"),0)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IFERROR(__xludf.DUMMYFUNCTION("IMPORTRANGE(""https://docs.google.com/spreadsheets/d/1C3CXT74ZlgGe6_JY_1olB1XN4rF0dxEuIIF-xsYjHgg/edit?usp=sharing"",""งบกองทุน!Es59"")"),0)</f>
        <v>0</v>
      </c>
      <c r="J488" s="66">
        <f ca="1">IFERROR(__xludf.DUMMYFUNCTION("IMPORTRANGE(""https://docs.google.com/spreadsheets/d/1AGHcLOeeYFL3K4b9R1dSzyJy00PE_ra89DNTVfnxSWM/edit?usp=sharing"",""รวมที่ชุมชน!V48"")"),0)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IFERROR(__xludf.DUMMYFUNCTION("IMPORTRANGE(""https://docs.google.com/spreadsheets/d/1C3CXT74ZlgGe6_JY_1olB1XN4rF0dxEuIIF-xsYjHgg/edit?usp=sharing"",""งบกองทุน!Et59"")"),0)</f>
        <v>0</v>
      </c>
      <c r="J489" s="111">
        <f ca="1">IFERROR(__xludf.DUMMYFUNCTION("IMPORTRANGE(""https://docs.google.com/spreadsheets/d/1AGHcLOeeYFL3K4b9R1dSzyJy00PE_ra89DNTVfnxSWM/edit?usp=sharing"",""รวมที่ชุมชน!X48"")"),0)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300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18300</v>
      </c>
      <c r="M490" s="259">
        <f>SUM(M491:M492)</f>
        <v>0</v>
      </c>
      <c r="N490" s="259">
        <f t="shared" ref="N490:N494" ca="1" si="109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18300</v>
      </c>
      <c r="M492" s="52">
        <f t="shared" si="110"/>
        <v>0</v>
      </c>
      <c r="N492" s="52">
        <f t="shared" ca="1" si="109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IFERROR(__xludf.DUMMYFUNCTION("IMPORTRANGE(""https://docs.google.com/spreadsheets/d/1C3CXT74ZlgGe6_JY_1olB1XN4rF0dxEuIIF-xsYjHgg/edit?usp=sharing"",""งบกองทุน!Ev59"")"),0)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IFERROR(__xludf.DUMMYFUNCTION("IMPORTRANGE(""https://docs.google.com/spreadsheets/d/1C3CXT74ZlgGe6_JY_1olB1XN4rF0dxEuIIF-xsYjHgg/edit?usp=sharing"",""งบกองทุน!Ew59"")"),18300)</f>
        <v>18300</v>
      </c>
      <c r="M494" s="52">
        <f>SUM(M495:M498)</f>
        <v>0</v>
      </c>
      <c r="N494" s="52">
        <f t="shared" ca="1" si="109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1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IFERROR(__xludf.DUMMYFUNCTION("IMPORTRANGE(""https://docs.google.com/spreadsheets/d/1C3CXT74ZlgGe6_JY_1olB1XN4rF0dxEuIIF-xsYjHgg/edit?usp=sharing"",""งบกองทุน!EZ59"")"),300)</f>
        <v>300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IFERROR(__xludf.DUMMYFUNCTION("IMPORTRANGE(""https://docs.google.com/spreadsheets/d/1C3CXT74ZlgGe6_JY_1olB1XN4rF0dxEuIIF-xsYjHgg/edit?usp=sharing"",""งบกองทุน!ff59"")"),0)</f>
        <v>0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IFERROR(__xludf.DUMMYFUNCTION("IMPORTRANGE(""https://docs.google.com/spreadsheets/d/1muirlRDkqiswvy_NRZ3Yh955hx-PF6_HhssUYiSJj8o/edit?usp=sharing"",""กองทุน!D59"")"),1500000)</f>
        <v>1500000</v>
      </c>
      <c r="J521" s="199">
        <f ca="1">IFERROR(__xludf.DUMMYFUNCTION("IMPORTRANGE(""https://docs.google.com/spreadsheets/d/1muirlRDkqiswvy_NRZ3Yh955hx-PF6_HhssUYiSJj8o/edit?usp=sharing"",""กองทุน!F59"")"),7919.74)</f>
        <v>7919.74</v>
      </c>
      <c r="K521" s="200">
        <f t="shared" ref="K521:K528" ca="1" si="116">IF(I521&gt;0,J521*100/I521,0)</f>
        <v>0.52798266666666671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IFERROR(__xludf.DUMMYFUNCTION("IMPORTRANGE(""https://docs.google.com/spreadsheets/d/1muirlRDkqiswvy_NRZ3Yh955hx-PF6_HhssUYiSJj8o/edit?usp=sharing"",""กองทุน!C59"")"),50)</f>
        <v>50</v>
      </c>
      <c r="J522" s="199">
        <f ca="1">IFERROR(__xludf.DUMMYFUNCTION("IMPORTRANGE(""https://docs.google.com/spreadsheets/d/1muirlRDkqiswvy_NRZ3Yh955hx-PF6_HhssUYiSJj8o/edit?usp=sharing"",""กองทุน!E59"")"),1)</f>
        <v>1</v>
      </c>
      <c r="K522" s="200">
        <f t="shared" ca="1" si="116"/>
        <v>2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IFERROR(__xludf.DUMMYFUNCTION("IMPORTRANGE(""https://docs.google.com/spreadsheets/d/1muirlRDkqiswvy_NRZ3Yh955hx-PF6_HhssUYiSJj8o/edit?usp=sharing"",""กองทุน!I59"")"),36610215.8499999)</f>
        <v>36610215.849999897</v>
      </c>
      <c r="J523" s="199">
        <f ca="1">IFERROR(__xludf.DUMMYFUNCTION("IMPORTRANGE(""https://docs.google.com/spreadsheets/d/1muirlRDkqiswvy_NRZ3Yh955hx-PF6_HhssUYiSJj8o/edit?usp=sharing"",""กองทุน!K59"")"),45184.7)</f>
        <v>45184.7</v>
      </c>
      <c r="K523" s="200">
        <f t="shared" ca="1" si="116"/>
        <v>0.12342101501157941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IFERROR(__xludf.DUMMYFUNCTION("IMPORTRANGE(""https://docs.google.com/spreadsheets/d/1muirlRDkqiswvy_NRZ3Yh955hx-PF6_HhssUYiSJj8o/edit?usp=sharing"",""กองทุน!H59"")"),1005)</f>
        <v>1005</v>
      </c>
      <c r="J524" s="199">
        <f ca="1">IFERROR(__xludf.DUMMYFUNCTION("IMPORTRANGE(""https://docs.google.com/spreadsheets/d/1muirlRDkqiswvy_NRZ3Yh955hx-PF6_HhssUYiSJj8o/edit?usp=sharing"",""กองทุน!J59"")"),5)</f>
        <v>5</v>
      </c>
      <c r="K524" s="200">
        <f t="shared" ca="1" si="116"/>
        <v>0.49751243781094528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IFERROR(__xludf.DUMMYFUNCTION("IMPORTRANGE(""https://docs.google.com/spreadsheets/d/1muirlRDkqiswvy_NRZ3Yh955hx-PF6_HhssUYiSJj8o/edit?usp=sharing"",""กองทุน!N59"")"),381782.43)</f>
        <v>381782.43</v>
      </c>
      <c r="J525" s="199">
        <f ca="1">IFERROR(__xludf.DUMMYFUNCTION("IMPORTRANGE(""https://docs.google.com/spreadsheets/d/1muirlRDkqiswvy_NRZ3Yh955hx-PF6_HhssUYiSJj8o/edit?usp=sharing"",""กองทุน!P59"")"),0)</f>
        <v>0</v>
      </c>
      <c r="K525" s="200">
        <f t="shared" ca="1" si="116"/>
        <v>0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IFERROR(__xludf.DUMMYFUNCTION("IMPORTRANGE(""https://docs.google.com/spreadsheets/d/1muirlRDkqiswvy_NRZ3Yh955hx-PF6_HhssUYiSJj8o/edit?usp=sharing"",""กองทุน!M59"")"),14)</f>
        <v>14</v>
      </c>
      <c r="J526" s="199">
        <f ca="1">IFERROR(__xludf.DUMMYFUNCTION("IMPORTRANGE(""https://docs.google.com/spreadsheets/d/1muirlRDkqiswvy_NRZ3Yh955hx-PF6_HhssUYiSJj8o/edit?usp=sharing"",""กองทุน!O59"")"),0)</f>
        <v>0</v>
      </c>
      <c r="K526" s="200">
        <f t="shared" ca="1" si="116"/>
        <v>0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IFERROR(__xludf.DUMMYFUNCTION("IMPORTRANGE(""https://docs.google.com/spreadsheets/d/1muirlRDkqiswvy_NRZ3Yh955hx-PF6_HhssUYiSJj8o/edit?usp=sharing"",""กองทุน!S59"")"),2100000)</f>
        <v>2100000</v>
      </c>
      <c r="J527" s="199">
        <f ca="1">IFERROR(__xludf.DUMMYFUNCTION("IMPORTRANGE(""https://docs.google.com/spreadsheets/d/1muirlRDkqiswvy_NRZ3Yh955hx-PF6_HhssUYiSJj8o/edit?usp=sharing"",""กองทุน!U59"")"),0)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IFERROR(__xludf.DUMMYFUNCTION("IMPORTRANGE(""https://docs.google.com/spreadsheets/d/1muirlRDkqiswvy_NRZ3Yh955hx-PF6_HhssUYiSJj8o/edit?usp=sharing"",""กองทุน!R59"")"),70)</f>
        <v>70</v>
      </c>
      <c r="J528" s="324">
        <f ca="1">IFERROR(__xludf.DUMMYFUNCTION("IMPORTRANGE(""https://docs.google.com/spreadsheets/d/1muirlRDkqiswvy_NRZ3Yh955hx-PF6_HhssUYiSJj8o/edit?usp=sharing"",""กองทุน!T59"")"),0)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A5" sqref="A5:G5"/>
      <selection pane="bottomLeft" activeCell="A5" sqref="A5:G5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68" t="s">
        <v>0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</row>
    <row r="2" spans="1:14" ht="18" customHeight="1" x14ac:dyDescent="0.55000000000000004">
      <c r="A2" s="368" t="s">
        <v>243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</row>
    <row r="3" spans="1:14" ht="18" customHeight="1" x14ac:dyDescent="0.55000000000000004">
      <c r="A3" s="368" t="s">
        <v>247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70" t="s">
        <v>4</v>
      </c>
      <c r="B5" s="371"/>
      <c r="C5" s="371"/>
      <c r="D5" s="371"/>
      <c r="E5" s="371"/>
      <c r="F5" s="371"/>
      <c r="G5" s="372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585765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IFERROR(__xludf.DUMMYFUNCTION("IMPORTRANGE(""https://docs.google.com/spreadsheets/d/1C3CXT74ZlgGe6_JY_1olB1XN4rF0dxEuIIF-xsYjHgg/edit?usp=sharing"",""พรบ!C77"")"),0)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66"/>
      <c r="K13" s="232"/>
      <c r="L13" s="52">
        <f ca="1">IFERROR(__xludf.DUMMYFUNCTION("IMPORTRANGE(""https://docs.google.com/spreadsheets/d/1C3CXT74ZlgGe6_JY_1olB1XN4rF0dxEuIIF-xsYjHgg/edit?usp=sharing"",""พรบ!D77"")"),0)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66"/>
      <c r="K14" s="232"/>
      <c r="L14" s="52">
        <f ca="1">IFERROR(__xludf.DUMMYFUNCTION("IMPORTRANGE(""https://docs.google.com/spreadsheets/d/1C3CXT74ZlgGe6_JY_1olB1XN4rF0dxEuIIF-xsYjHgg/edit?usp=sharing"",""พรบ!E77"")"),0)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28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IFERROR(__xludf.DUMMYFUNCTION("IMPORTRANGE(""https://docs.google.com/spreadsheets/d/1C3CXT74ZlgGe6_JY_1olB1XN4rF0dxEuIIF-xsYjHgg/edit?usp=sharing"",""พรบ!H77"")"),0)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IFERROR(__xludf.DUMMYFUNCTION("IMPORTRANGE(""https://docs.google.com/spreadsheets/d/1C3CXT74ZlgGe6_JY_1olB1XN4rF0dxEuIIF-xsYjHgg/edit?usp=sharing"",""พรบ!I77"")"),0)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IFERROR(__xludf.DUMMYFUNCTION("IMPORTRANGE(""https://docs.google.com/spreadsheets/d/1C3CXT74ZlgGe6_JY_1olB1XN4rF0dxEuIIF-xsYjHgg/edit?usp=sharing"",""พรบ!J77"")"),0)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IFERROR(__xludf.DUMMYFUNCTION("IMPORTRANGE(""https://docs.google.com/spreadsheets/d/1C3CXT74ZlgGe6_JY_1olB1XN4rF0dxEuIIF-xsYjHgg/edit?usp=sharing"",""พรบ!K77"")"),0)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IFERROR(__xludf.DUMMYFUNCTION("IMPORTRANGE(""https://docs.google.com/spreadsheets/d/1C3CXT74ZlgGe6_JY_1olB1XN4rF0dxEuIIF-xsYjHgg/edit?usp=sharing"",""พรบ!L77"")"),0)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IFERROR(__xludf.DUMMYFUNCTION("IMPORTRANGE(""https://docs.google.com/spreadsheets/d/1C3CXT74ZlgGe6_JY_1olB1XN4rF0dxEuIIF-xsYjHgg/edit?usp=sharing"",""พรบ!M77"")"),0)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IFERROR(__xludf.DUMMYFUNCTION("IMPORTRANGE(""https://docs.google.com/spreadsheets/d/1C3CXT74ZlgGe6_JY_1olB1XN4rF0dxEuIIF-xsYjHgg/edit?usp=sharing"",""พรบ!N77"")"),0)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6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IFERROR(__xludf.DUMMYFUNCTION("IMPORTRANGE(""https://docs.google.com/spreadsheets/d/1C3CXT74ZlgGe6_JY_1olB1XN4rF0dxEuIIF-xsYjHgg/edit?usp=sharing"",""พรบ!O77"")"),0)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IFERROR(__xludf.DUMMYFUNCTION("IMPORTRANGE(""https://docs.google.com/spreadsheets/d/1C3CXT74ZlgGe6_JY_1olB1XN4rF0dxEuIIF-xsYjHgg/edit?usp=sharing"",""พรบ!P77"")"),0)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IFERROR(__xludf.DUMMYFUNCTION("IMPORTRANGE(""https://docs.google.com/spreadsheets/d/1C3CXT74ZlgGe6_JY_1olB1XN4rF0dxEuIIF-xsYjHgg/edit?usp=sharing"",""พรบ!Q77"")"),0)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IFERROR(__xludf.DUMMYFUNCTION("IMPORTRANGE(""https://docs.google.com/spreadsheets/d/1C3CXT74ZlgGe6_JY_1olB1XN4rF0dxEuIIF-xsYjHgg/edit?usp=sharing"",""พรบ!R77"")"),0)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IFERROR(__xludf.DUMMYFUNCTION("IMPORTRANGE(""https://docs.google.com/spreadsheets/d/1C3CXT74ZlgGe6_JY_1olB1XN4rF0dxEuIIF-xsYjHgg/edit?usp=sharing"",""พรบ!S77"")"),0)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IFERROR(__xludf.DUMMYFUNCTION("IMPORTRANGE(""https://docs.google.com/spreadsheets/d/1C3CXT74ZlgGe6_JY_1olB1XN4rF0dxEuIIF-xsYjHgg/edit?usp=sharing"",""พรบ!T77"")"),0)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IFERROR(__xludf.DUMMYFUNCTION("IMPORTRANGE(""https://docs.google.com/spreadsheets/d/1C3CXT74ZlgGe6_JY_1olB1XN4rF0dxEuIIF-xsYjHgg/edit?usp=sharing"",""พรบ!U77"")"),0)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IFERROR(__xludf.DUMMYFUNCTION("IMPORTRANGE(""https://docs.google.com/spreadsheets/d/1C3CXT74ZlgGe6_JY_1olB1XN4rF0dxEuIIF-xsYjHgg/edit?usp=sharing"",""พรบ!V77"")"),0)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IFERROR(__xludf.DUMMYFUNCTION("IMPORTRANGE(""https://docs.google.com/spreadsheets/d/1C3CXT74ZlgGe6_JY_1olB1XN4rF0dxEuIIF-xsYjHgg/edit?usp=sharing"",""พรบ!W77"")"),0)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6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IFERROR(__xludf.DUMMYFUNCTION("IMPORTRANGE(""https://docs.google.com/spreadsheets/d/1C3CXT74ZlgGe6_JY_1olB1XN4rF0dxEuIIF-xsYjHgg/edit?usp=sharing"",""พรบ!Y77"")"),0)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IFERROR(__xludf.DUMMYFUNCTION("IMPORTRANGE(""https://docs.google.com/spreadsheets/d/1C3CXT74ZlgGe6_JY_1olB1XN4rF0dxEuIIF-xsYjHgg/edit?usp=sharing"",""พรบ!Z77"")"),0)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246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IFERROR(__xludf.DUMMYFUNCTION("IMPORTRANGE(""https://docs.google.com/spreadsheets/d/1C3CXT74ZlgGe6_JY_1olB1XN4rF0dxEuIIF-xsYjHgg/edit?usp=sharing"",""พรบ!AA77"")"),0)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7">
        <v>0</v>
      </c>
      <c r="K65" s="358"/>
      <c r="L65" s="359"/>
      <c r="M65" s="359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28700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28700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IFERROR(__xludf.DUMMYFUNCTION("IMPORTRANGE(""https://docs.google.com/spreadsheets/d/1C3CXT74ZlgGe6_JY_1olB1XN4rF0dxEuIIF-xsYjHgg/edit?usp=sharing"",""พรบ!AD77"")"),0)</f>
        <v>0</v>
      </c>
      <c r="M72" s="52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28700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IFERROR(__xludf.DUMMYFUNCTION("IMPORTRANGE(""https://docs.google.com/spreadsheets/d/1C3CXT74ZlgGe6_JY_1olB1XN4rF0dxEuIIF-xsYjHgg/edit?usp=sharing"",""พรบ!AF77"")"),7500)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1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IFERROR(__xludf.DUMMYFUNCTION("IMPORTRANGE(""https://docs.google.com/spreadsheets/d/1C3CXT74ZlgGe6_JY_1olB1XN4rF0dxEuIIF-xsYjHgg/edit?usp=sharing"",""พรบ!AG77"")"),4)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1</v>
      </c>
      <c r="J89" s="149">
        <f t="shared" si="21"/>
        <v>0</v>
      </c>
      <c r="K89" s="150">
        <f ca="1">IF(I89&gt;0,J89*100/I89,0)</f>
        <v>0</v>
      </c>
      <c r="L89" s="147">
        <f ca="1">L90+L91</f>
        <v>14000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14000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IFERROR(__xludf.DUMMYFUNCTION("IMPORTRANGE(""https://docs.google.com/spreadsheets/d/1C3CXT74ZlgGe6_JY_1olB1XN4rF0dxEuIIF-xsYjHgg/edit?usp=sharing"",""พรบ!AH77"")"),14000)</f>
        <v>14000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1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IFERROR(__xludf.DUMMYFUNCTION("IMPORTRANGE(""https://docs.google.com/spreadsheets/d/1C3CXT74ZlgGe6_JY_1olB1XN4rF0dxEuIIF-xsYjHgg/edit?usp=sharing"",""พรบ!AI77"")"),1)</f>
        <v>1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IFERROR(__xludf.DUMMYFUNCTION("IMPORTRANGE(""https://docs.google.com/spreadsheets/d/1C3CXT74ZlgGe6_JY_1olB1XN4rF0dxEuIIF-xsYjHgg/edit?usp=sharing"",""กปร!C77"")"),12000)</f>
        <v>12000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IFERROR(__xludf.DUMMYFUNCTION("IMPORTRANGE(""https://docs.google.com/spreadsheets/d/1C3CXT74ZlgGe6_JY_1olB1XN4rF0dxEuIIF-xsYjHgg/edit?usp=sharing"",""พรบ!AJ77"")"),0)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IFERROR(__xludf.DUMMYFUNCTION("IMPORTRANGE(""https://docs.google.com/spreadsheets/d/1C3CXT74ZlgGe6_JY_1olB1XN4rF0dxEuIIF-xsYjHgg/edit?usp=sharing"",""พรบ!AK77"")"),0)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IFERROR(__xludf.DUMMYFUNCTION("IMPORTRANGE(""https://docs.google.com/spreadsheets/d/1C3CXT74ZlgGe6_JY_1olB1XN4rF0dxEuIIF-xsYjHgg/edit?usp=sharing"",""กปร!D77"")"),0)</f>
        <v>0</v>
      </c>
      <c r="M110" s="361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IFERROR(__xludf.DUMMYFUNCTION("IMPORTRANGE(""https://docs.google.com/spreadsheets/d/1C3CXT74ZlgGe6_JY_1olB1XN4rF0dxEuIIF-xsYjHgg/edit?usp=sharing"",""พรบ!AL77"")"),0)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IFERROR(__xludf.DUMMYFUNCTION("IMPORTRANGE(""https://docs.google.com/spreadsheets/d/1C3CXT74ZlgGe6_JY_1olB1XN4rF0dxEuIIF-xsYjHgg/edit?usp=sharing"",""กปร!E77"")"),0)</f>
        <v>0</v>
      </c>
      <c r="M111" s="361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6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8000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7200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7200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IFERROR(__xludf.DUMMYFUNCTION("IMPORTRANGE(""https://docs.google.com/spreadsheets/d/1C3CXT74ZlgGe6_JY_1olB1XN4rF0dxEuIIF-xsYjHgg/edit?usp=sharing"",""พรบ!AM77"")"),7200)</f>
        <v>7200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1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IFERROR(__xludf.DUMMYFUNCTION("IMPORTRANGE(""https://docs.google.com/spreadsheets/d/1C3CXT74ZlgGe6_JY_1olB1XN4rF0dxEuIIF-xsYjHgg/edit?usp=sharing"",""พรบ!AO77"")"),8000)</f>
        <v>8000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IFERROR(__xludf.DUMMYFUNCTION("IMPORTRANGE(""https://docs.google.com/spreadsheets/d/1C3CXT74ZlgGe6_JY_1olB1XN4rF0dxEuIIF-xsYjHgg/edit?usp=sharing"",""พรบ!AP77"")"),8000)</f>
        <v>8000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IFERROR(__xludf.DUMMYFUNCTION("IMPORTRANGE(""https://docs.google.com/spreadsheets/d/1C3CXT74ZlgGe6_JY_1olB1XN4rF0dxEuIIF-xsYjHgg/edit?usp=sharing"",""กปร!F77"")"),3200)</f>
        <v>3200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IFERROR(__xludf.DUMMYFUNCTION("IMPORTRANGE(""https://docs.google.com/spreadsheets/d/1C3CXT74ZlgGe6_JY_1olB1XN4rF0dxEuIIF-xsYjHgg/edit?usp=sharing"",""พรบ!AQ77"")"),0)</f>
        <v>0</v>
      </c>
      <c r="J126" s="67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IFERROR(__xludf.DUMMYFUNCTION("IMPORTRANGE(""https://docs.google.com/spreadsheets/d/1C3CXT74ZlgGe6_JY_1olB1XN4rF0dxEuIIF-xsYjHgg/edit?usp=sharing"",""กปร!G77"")"),0)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IFERROR(__xludf.DUMMYFUNCTION("IMPORTRANGE(""https://docs.google.com/spreadsheets/d/1C3CXT74ZlgGe6_JY_1olB1XN4rF0dxEuIIF-xsYjHgg/edit?usp=sharing"",""พรบ!AR77"")"),0)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IFERROR(__xludf.DUMMYFUNCTION("IMPORTRANGE(""https://docs.google.com/spreadsheets/d/1C3CXT74ZlgGe6_JY_1olB1XN4rF0dxEuIIF-xsYjHgg/edit?usp=sharing"",""พรบ!AS77"")"),0)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IFERROR(__xludf.DUMMYFUNCTION("IMPORTRANGE(""https://docs.google.com/spreadsheets/d/1C3CXT74ZlgGe6_JY_1olB1XN4rF0dxEuIIF-xsYjHgg/edit?usp=sharing"",""กปร!H77"")"),0)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IFERROR(__xludf.DUMMYFUNCTION("IMPORTRANGE(""https://docs.google.com/spreadsheets/d/1C3CXT74ZlgGe6_JY_1olB1XN4rF0dxEuIIF-xsYjHgg/edit?usp=sharing"",""พรบ!AT77"")"),0)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IFERROR(__xludf.DUMMYFUNCTION("IMPORTRANGE(""https://docs.google.com/spreadsheets/d/1C3CXT74ZlgGe6_JY_1olB1XN4rF0dxEuIIF-xsYjHgg/edit?usp=sharing"",""กปร!I77"")"),0)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IFERROR(__xludf.DUMMYFUNCTION("IMPORTRANGE(""https://docs.google.com/spreadsheets/d/1C3CXT74ZlgGe6_JY_1olB1XN4rF0dxEuIIF-xsYjHgg/edit?usp=sharing"",""พรบ!AU77"")"),0)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IFERROR(__xludf.DUMMYFUNCTION("IMPORTRANGE(""https://docs.google.com/spreadsheets/d/1C3CXT74ZlgGe6_JY_1olB1XN4rF0dxEuIIF-xsYjHgg/edit?usp=sharing"",""กปร!J77"")"),0)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7">
        <v>0</v>
      </c>
      <c r="K143" s="113"/>
      <c r="L143" s="114"/>
      <c r="M143" s="114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13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19295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19295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IFERROR(__xludf.DUMMYFUNCTION("IMPORTRANGE(""https://docs.google.com/spreadsheets/d/1C3CXT74ZlgGe6_JY_1olB1XN4rF0dxEuIIF-xsYjHgg/edit?usp=sharing"",""พรบ!AY77"")"),19295)</f>
        <v>19295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13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1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IFERROR(__xludf.DUMMYFUNCTION("IMPORTRANGE(""https://docs.google.com/spreadsheets/d/1C3CXT74ZlgGe6_JY_1olB1XN4rF0dxEuIIF-xsYjHgg/edit?usp=sharing"",""พรบ!BA77"")"),13)</f>
        <v>13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66"/>
      <c r="K172" s="232"/>
      <c r="L172" s="52">
        <f ca="1">IFERROR(__xludf.DUMMYFUNCTION("IMPORTRANGE(""https://docs.google.com/spreadsheets/d/1C3CXT74ZlgGe6_JY_1olB1XN4rF0dxEuIIF-xsYjHgg/edit?usp=sharing"",""พรบ!BD77"")"),0)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66"/>
      <c r="K173" s="232"/>
      <c r="L173" s="52">
        <f ca="1">IFERROR(__xludf.DUMMYFUNCTION("IMPORTRANGE(""https://docs.google.com/spreadsheets/d/1C3CXT74ZlgGe6_JY_1olB1XN4rF0dxEuIIF-xsYjHgg/edit?usp=sharing"",""พรบ!BE77"")"),0)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IFERROR(__xludf.DUMMYFUNCTION("IMPORTRANGE(""https://docs.google.com/spreadsheets/d/1C3CXT74ZlgGe6_JY_1olB1XN4rF0dxEuIIF-xsYjHgg/edit?usp=sharing"",""พรบ!BF77"")"),0)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IFERROR(__xludf.DUMMYFUNCTION("IMPORTRANGE(""https://docs.google.com/spreadsheets/d/1C3CXT74ZlgGe6_JY_1olB1XN4rF0dxEuIIF-xsYjHgg/edit?usp=sharing"",""พรบ!BG77"")"),0)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IFERROR(__xludf.DUMMYFUNCTION("IMPORTRANGE(""https://docs.google.com/spreadsheets/d/1C3CXT74ZlgGe6_JY_1olB1XN4rF0dxEuIIF-xsYjHgg/edit?usp=sharing"",""พรบ!BH77"")"),0)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IFERROR(__xludf.DUMMYFUNCTION("IMPORTRANGE(""https://docs.google.com/spreadsheets/d/1C3CXT74ZlgGe6_JY_1olB1XN4rF0dxEuIIF-xsYjHgg/edit?usp=sharing"",""พรบ!BI77"")"),0)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7">
        <v>0</v>
      </c>
      <c r="K184" s="358"/>
      <c r="L184" s="359"/>
      <c r="M184" s="359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0</v>
      </c>
      <c r="J185" s="177">
        <f>+J195</f>
        <v>0</v>
      </c>
      <c r="K185" s="178">
        <f ca="1">IF(I185&gt;0,J185*100/I185,0)</f>
        <v>0</v>
      </c>
      <c r="L185" s="179">
        <f ca="1">L186+L187</f>
        <v>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66"/>
      <c r="K188" s="232"/>
      <c r="L188" s="52">
        <f ca="1">IFERROR(__xludf.DUMMYFUNCTION("IMPORTRANGE(""https://docs.google.com/spreadsheets/d/1C3CXT74ZlgGe6_JY_1olB1XN4rF0dxEuIIF-xsYjHgg/edit?usp=sharing"",""พรบ!BK77"")"),0)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66"/>
      <c r="K189" s="232"/>
      <c r="L189" s="52">
        <f ca="1">IFERROR(__xludf.DUMMYFUNCTION("IMPORTRANGE(""https://docs.google.com/spreadsheets/d/1C3CXT74ZlgGe6_JY_1olB1XN4rF0dxEuIIF-xsYjHgg/edit?usp=sharing"",""พรบ!BL77"")"),0)</f>
        <v>0</v>
      </c>
      <c r="M189" s="52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66"/>
      <c r="K190" s="232"/>
      <c r="L190" s="52"/>
      <c r="M190" s="52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6">
        <v>0</v>
      </c>
      <c r="K191" s="232"/>
      <c r="L191" s="52"/>
      <c r="M191" s="52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6">
        <v>0</v>
      </c>
      <c r="K192" s="232"/>
      <c r="L192" s="52"/>
      <c r="M192" s="52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6">
        <v>0</v>
      </c>
      <c r="K193" s="232"/>
      <c r="L193" s="52"/>
      <c r="M193" s="52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6">
        <v>0</v>
      </c>
      <c r="K194" s="232"/>
      <c r="L194" s="52"/>
      <c r="M194" s="52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IFERROR(__xludf.DUMMYFUNCTION("IMPORTRANGE(""https://docs.google.com/spreadsheets/d/1C3CXT74ZlgGe6_JY_1olB1XN4rF0dxEuIIF-xsYjHgg/edit?usp=sharing"",""พรบ!BM77"")"),0)</f>
        <v>0</v>
      </c>
      <c r="J195" s="66">
        <v>0</v>
      </c>
      <c r="K195" s="232">
        <f ca="1">IF(I195&gt;0,J195*100/I195,0)</f>
        <v>0</v>
      </c>
      <c r="L195" s="52"/>
      <c r="M195" s="52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6">
        <v>0</v>
      </c>
      <c r="K196" s="232"/>
      <c r="L196" s="52"/>
      <c r="M196" s="52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356">
        <v>0</v>
      </c>
      <c r="K197" s="232"/>
      <c r="L197" s="52"/>
      <c r="M197" s="52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IFERROR(__xludf.DUMMYFUNCTION("IMPORTRANGE(""https://docs.google.com/spreadsheets/d/1C3CXT74ZlgGe6_JY_1olB1XN4rF0dxEuIIF-xsYjHgg/edit?usp=sharing"",""พรบ!BP77"")"),0)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IFERROR(__xludf.DUMMYFUNCTION("IMPORTRANGE(""https://docs.google.com/spreadsheets/d/1C3CXT74ZlgGe6_JY_1olB1XN4rF0dxEuIIF-xsYjHgg/edit?usp=sharing"",""พรบ!BQ77"")"),0)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IFERROR(__xludf.DUMMYFUNCTION("IMPORTRANGE(""https://docs.google.com/spreadsheets/d/1C3CXT74ZlgGe6_JY_1olB1XN4rF0dxEuIIF-xsYjHgg/edit?usp=sharing"",""พรบ!BR77"")"),0)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IFERROR(__xludf.DUMMYFUNCTION("IMPORTRANGE(""https://docs.google.com/spreadsheets/d/1C3CXT74ZlgGe6_JY_1olB1XN4rF0dxEuIIF-xsYjHgg/edit?usp=sharing"",""พรบ!BU77"")"),0)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IFERROR(__xludf.DUMMYFUNCTION("IMPORTRANGE(""https://docs.google.com/spreadsheets/d/1C3CXT74ZlgGe6_JY_1olB1XN4rF0dxEuIIF-xsYjHgg/edit?usp=sharing"",""พรบ!BV77"")"),0)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0</v>
      </c>
      <c r="J228" s="197">
        <f ca="1">J240</f>
        <v>0</v>
      </c>
      <c r="K228" s="178">
        <f ca="1">IF(I228&gt;0,J228*100/I228,0)</f>
        <v>0</v>
      </c>
      <c r="L228" s="179">
        <f ca="1">L229+L230</f>
        <v>537770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537770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IFERROR(__xludf.DUMMYFUNCTION("IMPORTRANGE(""https://docs.google.com/spreadsheets/d/1C3CXT74ZlgGe6_JY_1olB1XN4rF0dxEuIIF-xsYjHgg/edit?usp=sharing"",""พรบ!BX77"")"),493800)</f>
        <v>493800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IFERROR(__xludf.DUMMYFUNCTION("IMPORTRANGE(""https://docs.google.com/spreadsheets/d/1C3CXT74ZlgGe6_JY_1olB1XN4rF0dxEuIIF-xsYjHgg/edit?usp=sharing"",""พรบ!BY77"")"),43970)</f>
        <v>43970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IFERROR(__xludf.DUMMYFUNCTION("IMPORTRANGE(""https://docs.google.com/spreadsheets/d/1AGHcLOeeYFL3K4b9R1dSzyJy00PE_ra89DNTVfnxSWM/edit?usp=sharing"",""รวมที่ทำกิน!J66"")"),0)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IFERROR(__xludf.DUMMYFUNCTION("IMPORTRANGE(""https://docs.google.com/spreadsheets/d/1C3CXT74ZlgGe6_JY_1olB1XN4rF0dxEuIIF-xsYjHgg/edit?usp=sharing"",""พรบ!BZ77"")"),0)</f>
        <v>0</v>
      </c>
      <c r="J235" s="66">
        <f ca="1">IFERROR(__xludf.DUMMYFUNCTION("IMPORTRANGE(""https://docs.google.com/spreadsheets/d/1AGHcLOeeYFL3K4b9R1dSzyJy00PE_ra89DNTVfnxSWM/edit?usp=sharing"",""รวมที่ทำกิน!L66"")"),0)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IFERROR(__xludf.DUMMYFUNCTION("IMPORTRANGE(""https://docs.google.com/spreadsheets/d/1C3CXT74ZlgGe6_JY_1olB1XN4rF0dxEuIIF-xsYjHgg/edit?usp=sharing"",""พรบ!CA77"")"),0)</f>
        <v>0</v>
      </c>
      <c r="J236" s="66">
        <f ca="1">IFERROR(__xludf.DUMMYFUNCTION("IMPORTRANGE(""https://docs.google.com/spreadsheets/d/1AGHcLOeeYFL3K4b9R1dSzyJy00PE_ra89DNTVfnxSWM/edit?usp=sharing"",""รวมที่ทำกิน!O66"")"),0)</f>
        <v>0</v>
      </c>
      <c r="K236" s="200">
        <f t="shared" ca="1" si="52"/>
        <v>0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IFERROR(__xludf.DUMMYFUNCTION("IMPORTRANGE(""https://docs.google.com/spreadsheets/d/1AGHcLOeeYFL3K4b9R1dSzyJy00PE_ra89DNTVfnxSWM/edit?usp=sharing"",""รวมที่ทำกิน!Q66"")"),0)</f>
        <v>0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IFERROR(__xludf.DUMMYFUNCTION("IMPORTRANGE(""https://docs.google.com/spreadsheets/d/1C3CXT74ZlgGe6_JY_1olB1XN4rF0dxEuIIF-xsYjHgg/edit?usp=sharing"",""พรบ!CB77"")"),0)</f>
        <v>0</v>
      </c>
      <c r="J238" s="66">
        <f ca="1">IFERROR(__xludf.DUMMYFUNCTION("IMPORTRANGE(""https://docs.google.com/spreadsheets/d/1AGHcLOeeYFL3K4b9R1dSzyJy00PE_ra89DNTVfnxSWM/edit?usp=sharing"",""รวมที่ทำกิน!S66"")"),0)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IFERROR(__xludf.DUMMYFUNCTION("IMPORTRANGE(""https://docs.google.com/spreadsheets/d/1AGHcLOeeYFL3K4b9R1dSzyJy00PE_ra89DNTVfnxSWM/edit?usp=sharing"",""รวมที่ทำกิน!U66"")"),0)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IFERROR(__xludf.DUMMYFUNCTION("IMPORTRANGE(""https://docs.google.com/spreadsheets/d/1C3CXT74ZlgGe6_JY_1olB1XN4rF0dxEuIIF-xsYjHgg/edit?usp=sharing"",""พรบ!CC77"")"),0)</f>
        <v>0</v>
      </c>
      <c r="J240" s="66">
        <f ca="1">IFERROR(__xludf.DUMMYFUNCTION("IMPORTRANGE(""https://docs.google.com/spreadsheets/d/1AGHcLOeeYFL3K4b9R1dSzyJy00PE_ra89DNTVfnxSWM/edit?usp=sharing"",""รวมที่ทำกิน!W66"")"),0)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IFERROR(__xludf.DUMMYFUNCTION("IMPORTRANGE(""https://docs.google.com/spreadsheets/d/1AGHcLOeeYFL3K4b9R1dSzyJy00PE_ra89DNTVfnxSWM/edit?usp=sharing"",""รวมที่ทำกิน!Y66"")"),0)</f>
        <v>0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319230</v>
      </c>
      <c r="M242" s="213">
        <f t="shared" si="53"/>
        <v>1800</v>
      </c>
      <c r="N242" s="213">
        <f ca="1">+IF(L242&gt;0,M242*100/L242,0)</f>
        <v>0.56385678037778408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0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IFERROR(__xludf.DUMMYFUNCTION("IMPORTRANGE(""https://docs.google.com/spreadsheets/d/1C3CXT74ZlgGe6_JY_1olB1XN4rF0dxEuIIF-xsYjHgg/edit?usp=sharing"",""งบกองทุน!d77"")"),0)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IFERROR(__xludf.DUMMYFUNCTION("IMPORTRANGE(""https://docs.google.com/spreadsheets/d/1C3CXT74ZlgGe6_JY_1olB1XN4rF0dxEuIIF-xsYjHgg/edit?usp=sharing"",""งบกองทุน!e77"")"),0)</f>
        <v>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2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2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2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2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66"/>
      <c r="K254" s="232"/>
      <c r="L254" s="52"/>
      <c r="M254" s="52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6">
        <v>0</v>
      </c>
      <c r="K255" s="232"/>
      <c r="L255" s="52"/>
      <c r="M255" s="52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6">
        <v>0</v>
      </c>
      <c r="K256" s="232"/>
      <c r="L256" s="52" t="s">
        <v>21</v>
      </c>
      <c r="M256" s="52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6">
        <v>0</v>
      </c>
      <c r="K257" s="232"/>
      <c r="L257" s="52"/>
      <c r="M257" s="52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6">
        <v>0</v>
      </c>
      <c r="K258" s="232"/>
      <c r="L258" s="52"/>
      <c r="M258" s="52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232"/>
      <c r="L259" s="52"/>
      <c r="M259" s="52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IFERROR(__xludf.DUMMYFUNCTION("IMPORTRANGE(""https://docs.google.com/spreadsheets/d/1C3CXT74ZlgGe6_JY_1olB1XN4rF0dxEuIIF-xsYjHgg/edit?usp=sharing"",""งบกองทุน!f77"")"),0)</f>
        <v>0</v>
      </c>
      <c r="J260" s="66">
        <v>0</v>
      </c>
      <c r="K260" s="232">
        <f ca="1">IF(I260&gt;0,J260*100/I260,0)</f>
        <v>0</v>
      </c>
      <c r="L260" s="52"/>
      <c r="M260" s="52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232"/>
      <c r="L261" s="52"/>
      <c r="M261" s="52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IFERROR(__xludf.DUMMYFUNCTION("IMPORTRANGE(""https://docs.google.com/spreadsheets/d/1C3CXT74ZlgGe6_JY_1olB1XN4rF0dxEuIIF-xsYjHgg/edit?usp=sharing"",""งบกองทุน!H77"")"),0)</f>
        <v>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IFERROR(__xludf.DUMMYFUNCTION("IMPORTRANGE(""https://docs.google.com/spreadsheets/d/1C3CXT74ZlgGe6_JY_1olB1XN4rF0dxEuIIF-xsYjHgg/edit?usp=sharing"",""งบกองทุน!i77"")"),0)</f>
        <v>0</v>
      </c>
      <c r="J264" s="66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0</v>
      </c>
      <c r="J265" s="66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IFERROR(__xludf.DUMMYFUNCTION("IMPORTRANGE(""https://docs.google.com/spreadsheets/d/1C3CXT74ZlgGe6_JY_1olB1XN4rF0dxEuIIF-xsYjHgg/edit?usp=sharing"",""งบกองทุน!k77"")"),0)</f>
        <v>0</v>
      </c>
      <c r="J266" s="66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0</v>
      </c>
      <c r="J267" s="66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IFERROR(__xludf.DUMMYFUNCTION("IMPORTRANGE(""https://docs.google.com/spreadsheets/d/1C3CXT74ZlgGe6_JY_1olB1XN4rF0dxEuIIF-xsYjHgg/edit?usp=sharing"",""งบกองทุน!m77"")"),0)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IFERROR(__xludf.DUMMYFUNCTION("IMPORTRANGE(""https://docs.google.com/spreadsheets/d/1C3CXT74ZlgGe6_JY_1olB1XN4rF0dxEuIIF-xsYjHgg/edit?usp=sharing"",""งบกองทุน!o77"")"),0)</f>
        <v>0</v>
      </c>
      <c r="J271" s="66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IFERROR(__xludf.DUMMYFUNCTION("IMPORTRANGE(""https://docs.google.com/spreadsheets/d/1C3CXT74ZlgGe6_JY_1olB1XN4rF0dxEuIIF-xsYjHgg/edit?usp=sharing"",""งบกองทุน!p77"")"),0)</f>
        <v>0</v>
      </c>
      <c r="J272" s="66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6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356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IFERROR(__xludf.DUMMYFUNCTION("IMPORTRANGE(""https://docs.google.com/spreadsheets/d/1C3CXT74ZlgGe6_JY_1olB1XN4rF0dxEuIIF-xsYjHgg/edit?usp=sharing"",""งบกองทุน!r77"")"),0)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IFERROR(__xludf.DUMMYFUNCTION("IMPORTRANGE(""https://docs.google.com/spreadsheets/d/1C3CXT74ZlgGe6_JY_1olB1XN4rF0dxEuIIF-xsYjHgg/edit?usp=sharing"",""งบกองทุน!s77"")"),0)</f>
        <v>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2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2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2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2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66"/>
      <c r="K285" s="232"/>
      <c r="L285" s="52"/>
      <c r="M285" s="52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6">
        <v>0</v>
      </c>
      <c r="K286" s="232"/>
      <c r="L286" s="52"/>
      <c r="M286" s="52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6">
        <v>0</v>
      </c>
      <c r="K287" s="232"/>
      <c r="L287" s="52" t="s">
        <v>21</v>
      </c>
      <c r="M287" s="52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6">
        <v>0</v>
      </c>
      <c r="K288" s="232"/>
      <c r="L288" s="52"/>
      <c r="M288" s="52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6">
        <v>0</v>
      </c>
      <c r="K289" s="232"/>
      <c r="L289" s="52"/>
      <c r="M289" s="52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232"/>
      <c r="L290" s="52"/>
      <c r="M290" s="52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IFERROR(__xludf.DUMMYFUNCTION("IMPORTRANGE(""https://docs.google.com/spreadsheets/d/1C3CXT74ZlgGe6_JY_1olB1XN4rF0dxEuIIF-xsYjHgg/edit?usp=sharing"",""งบกองทุน!v77"")"),0)</f>
        <v>0</v>
      </c>
      <c r="J291" s="66">
        <v>0</v>
      </c>
      <c r="K291" s="232">
        <f t="shared" ref="K291:K293" ca="1" si="67">IF(I291&gt;0,J291*100/I291,0)</f>
        <v>0</v>
      </c>
      <c r="L291" s="52"/>
      <c r="M291" s="52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IFERROR(__xludf.DUMMYFUNCTION("IMPORTRANGE(""https://docs.google.com/spreadsheets/d/1C3CXT74ZlgGe6_JY_1olB1XN4rF0dxEuIIF-xsYjHgg/edit?usp=sharing"",""งบกองทุน!w77"")"),0)</f>
        <v>0</v>
      </c>
      <c r="J292" s="66">
        <v>0</v>
      </c>
      <c r="K292" s="232">
        <f t="shared" ca="1" si="67"/>
        <v>0</v>
      </c>
      <c r="L292" s="52"/>
      <c r="M292" s="52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IFERROR(__xludf.DUMMYFUNCTION("IMPORTRANGE(""https://docs.google.com/spreadsheets/d/1C3CXT74ZlgGe6_JY_1olB1XN4rF0dxEuIIF-xsYjHgg/edit?usp=sharing"",""งบกองทุน!x77"")"),0)</f>
        <v>0</v>
      </c>
      <c r="J293" s="66">
        <v>0</v>
      </c>
      <c r="K293" s="232">
        <f t="shared" ca="1" si="67"/>
        <v>0</v>
      </c>
      <c r="L293" s="52"/>
      <c r="M293" s="52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6">
        <v>0</v>
      </c>
      <c r="K294" s="232"/>
      <c r="L294" s="52"/>
      <c r="M294" s="52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356">
        <v>0</v>
      </c>
      <c r="K295" s="232"/>
      <c r="L295" s="52"/>
      <c r="M295" s="52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87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98950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29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98950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IFERROR(__xludf.DUMMYFUNCTION("IMPORTRANGE(""https://docs.google.com/spreadsheets/d/1C3CXT74ZlgGe6_JY_1olB1XN4rF0dxEuIIF-xsYjHgg/edit?usp=sharing"",""งบกองทุน!z77"")"),0)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IFERROR(__xludf.DUMMYFUNCTION("IMPORTRANGE(""https://docs.google.com/spreadsheets/d/1C3CXT74ZlgGe6_JY_1olB1XN4rF0dxEuIIF-xsYjHgg/edit?usp=sharing"",""งบกองทุน!aa77"")"),98950)</f>
        <v>98950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1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/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29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IFERROR(__xludf.DUMMYFUNCTION("IMPORTRANGE(""https://docs.google.com/spreadsheets/d/1C3CXT74ZlgGe6_JY_1olB1XN4rF0dxEuIIF-xsYjHgg/edit?usp=sharing"",""งบกองทุน!ae77"")"),0)</f>
        <v>0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IFERROR(__xludf.DUMMYFUNCTION("IMPORTRANGE(""https://docs.google.com/spreadsheets/d/1C3CXT74ZlgGe6_JY_1olB1XN4rF0dxEuIIF-xsYjHgg/edit?usp=sharing"",""งบกองทุน!ad77"")"),0)</f>
        <v>0</v>
      </c>
      <c r="J313" s="78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IFERROR(__xludf.DUMMYFUNCTION("IMPORTRANGE(""https://docs.google.com/spreadsheets/d/1C3CXT74ZlgGe6_JY_1olB1XN4rF0dxEuIIF-xsYjHgg/edit?usp=sharing"",""งบกองทุน!af77"")"),0)</f>
        <v>0</v>
      </c>
      <c r="J314" s="66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IFERROR(__xludf.DUMMYFUNCTION("IMPORTRANGE(""https://docs.google.com/spreadsheets/d/1C3CXT74ZlgGe6_JY_1olB1XN4rF0dxEuIIF-xsYjHgg/edit?usp=sharing"",""งบกองทุน!ag77"")"),0)</f>
        <v>0</v>
      </c>
      <c r="J315" s="111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IFERROR(__xludf.DUMMYFUNCTION("IMPORTRANGE(""https://docs.google.com/spreadsheets/d/1C3CXT74ZlgGe6_JY_1olB1XN4rF0dxEuIIF-xsYjHgg/edit?usp=sharing"",""งบกองทุน!ai77"")"),19)</f>
        <v>19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IFERROR(__xludf.DUMMYFUNCTION("IMPORTRANGE(""https://docs.google.com/spreadsheets/d/1C3CXT74ZlgGe6_JY_1olB1XN4rF0dxEuIIF-xsYjHgg/edit?usp=sharing"",""งบกองทุน!ah77"")"),57)</f>
        <v>57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IFERROR(__xludf.DUMMYFUNCTION("IMPORTRANGE(""https://docs.google.com/spreadsheets/d/1C3CXT74ZlgGe6_JY_1olB1XN4rF0dxEuIIF-xsYjHgg/edit?usp=sharing"",""งบกองทุน!aj77"")"),19)</f>
        <v>19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IFERROR(__xludf.DUMMYFUNCTION("IMPORTRANGE(""https://docs.google.com/spreadsheets/d/1C3CXT74ZlgGe6_JY_1olB1XN4rF0dxEuIIF-xsYjHgg/edit?usp=sharing"",""งบกองทุน!ak77"")"),19)</f>
        <v>19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IFERROR(__xludf.DUMMYFUNCTION("IMPORTRANGE(""https://docs.google.com/spreadsheets/d/1C3CXT74ZlgGe6_JY_1olB1XN4rF0dxEuIIF-xsYjHgg/edit?usp=sharing"",""งบกองทุน!al77"")"),19)</f>
        <v>19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IFERROR(__xludf.DUMMYFUNCTION("IMPORTRANGE(""https://docs.google.com/spreadsheets/d/1C3CXT74ZlgGe6_JY_1olB1XN4rF0dxEuIIF-xsYjHgg/edit?usp=sharing"",""งบกองทุน!an77"")"),10)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IFERROR(__xludf.DUMMYFUNCTION("IMPORTRANGE(""https://docs.google.com/spreadsheets/d/1C3CXT74ZlgGe6_JY_1olB1XN4rF0dxEuIIF-xsYjHgg/edit?usp=sharing"",""งบกองทุน!am77"")"),30)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IFERROR(__xludf.DUMMYFUNCTION("IMPORTRANGE(""https://docs.google.com/spreadsheets/d/1C3CXT74ZlgGe6_JY_1olB1XN4rF0dxEuIIF-xsYjHgg/edit?usp=sharing"",""งบกองทุน!ao77"")"),10)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IFERROR(__xludf.DUMMYFUNCTION("IMPORTRANGE(""https://docs.google.com/spreadsheets/d/1C3CXT74ZlgGe6_JY_1olB1XN4rF0dxEuIIF-xsYjHgg/edit?usp=sharing"",""งบกองทุน!ap77"")"),10)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19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IFERROR(__xludf.DUMMYFUNCTION("IMPORTRANGE(""https://docs.google.com/spreadsheets/d/1C3CXT74ZlgGe6_JY_1olB1XN4rF0dxEuIIF-xsYjHgg/edit?usp=sharing"",""งบกองทุน!ar77"")"),0)</f>
        <v>0</v>
      </c>
      <c r="J326" s="66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IFERROR(__xludf.DUMMYFUNCTION("IMPORTRANGE(""https://docs.google.com/spreadsheets/d/1C3CXT74ZlgGe6_JY_1olB1XN4rF0dxEuIIF-xsYjHgg/edit?usp=sharing"",""งบกองทุน!as77"")"),19)</f>
        <v>19</v>
      </c>
      <c r="J327" s="67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10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71000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71000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IFERROR(__xludf.DUMMYFUNCTION("IMPORTRANGE(""https://docs.google.com/spreadsheets/d/1C3CXT74ZlgGe6_JY_1olB1XN4rF0dxEuIIF-xsYjHgg/edit?usp=sharing"",""งบกองทุน!au77"")"),0)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IFERROR(__xludf.DUMMYFUNCTION("IMPORTRANGE(""https://docs.google.com/spreadsheets/d/1C3CXT74ZlgGe6_JY_1olB1XN4rF0dxEuIIF-xsYjHgg/edit?usp=sharing"",""งบกองทุน!av77"")"),71000)</f>
        <v>71000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1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10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IFERROR(__xludf.DUMMYFUNCTION("IMPORTRANGE(""https://docs.google.com/spreadsheets/d/1C3CXT74ZlgGe6_JY_1olB1XN4rF0dxEuIIF-xsYjHgg/edit?usp=sharing"",""งบกองทุน!ay77"")"),10)</f>
        <v>10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IFERROR(__xludf.DUMMYFUNCTION("IMPORTRANGE(""https://docs.google.com/spreadsheets/d/1C3CXT74ZlgGe6_JY_1olB1XN4rF0dxEuIIF-xsYjHgg/edit?usp=sharing"",""งบกองทุน!az77"")"),0)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IFERROR(__xludf.DUMMYFUNCTION("IMPORTRANGE(""https://docs.google.com/spreadsheets/d/1C3CXT74ZlgGe6_JY_1olB1XN4rF0dxEuIIF-xsYjHgg/edit?usp=sharing"",""งบกองทุน!Ba77"")"),0)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0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0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0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IFERROR(__xludf.DUMMYFUNCTION("IMPORTRANGE(""https://docs.google.com/spreadsheets/d/1C3CXT74ZlgGe6_JY_1olB1XN4rF0dxEuIIF-xsYjHgg/edit?usp=sharing"",""งบกองทุน!Bc77"")"),0)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IFERROR(__xludf.DUMMYFUNCTION("IMPORTRANGE(""https://docs.google.com/spreadsheets/d/1C3CXT74ZlgGe6_JY_1olB1XN4rF0dxEuIIF-xsYjHgg/edit?usp=sharing"",""งบกองทุน!Bd77"")"),0)</f>
        <v>0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2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2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IFERROR(__xludf.DUMMYFUNCTION("IMPORTRANGE(""https://docs.google.com/spreadsheets/d/1C3CXT74ZlgGe6_JY_1olB1XN4rF0dxEuIIF-xsYjHgg/edit?usp=sharing"",""งบกองทุน!BE77"")"),0)</f>
        <v>0</v>
      </c>
      <c r="J359" s="136">
        <f>+J376</f>
        <v>0</v>
      </c>
      <c r="K359" s="137">
        <f t="shared" ref="K359:K425" ca="1" si="82">IF(I359&gt;0,J359*100/I359,0)</f>
        <v>0</v>
      </c>
      <c r="L359" s="139"/>
      <c r="M359" s="4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IFERROR(__xludf.DUMMYFUNCTION("IMPORTRANGE(""https://docs.google.com/spreadsheets/d/1C3CXT74ZlgGe6_JY_1olB1XN4rF0dxEuIIF-xsYjHgg/edit?usp=sharing"",""งบกองทุน!BE77"")"),0)</f>
        <v>0</v>
      </c>
      <c r="J360" s="265">
        <f t="shared" ref="J360:J361" si="83">+J362+J364+J366</f>
        <v>0</v>
      </c>
      <c r="K360" s="79">
        <f t="shared" ca="1" si="82"/>
        <v>0</v>
      </c>
      <c r="L360" s="60"/>
      <c r="M360" s="52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IFERROR(__xludf.DUMMYFUNCTION("IMPORTRANGE(""https://docs.google.com/spreadsheets/d/1C3CXT74ZlgGe6_JY_1olB1XN4rF0dxEuIIF-xsYjHgg/edit?usp=sharing"",""งบกองทุน!Bf77"")"),0)</f>
        <v>0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6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6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6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6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6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6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0</v>
      </c>
      <c r="J368" s="78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47">
        <f ca="1">I361</f>
        <v>0</v>
      </c>
      <c r="J369" s="78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6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6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6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6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6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6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0</v>
      </c>
      <c r="J376" s="78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47">
        <f ca="1">I361</f>
        <v>0</v>
      </c>
      <c r="J377" s="78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6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6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6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6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78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78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6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6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6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6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6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6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IFERROR(__xludf.DUMMYFUNCTION("IMPORTRANGE(""https://docs.google.com/spreadsheets/d/1C3CXT74ZlgGe6_JY_1olB1XN4rF0dxEuIIF-xsYjHgg/edit?usp=sharing"",""งบกองทุน!cd77"")"),0)</f>
        <v>0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IFERROR(__xludf.DUMMYFUNCTION("IMPORTRANGE(""https://docs.google.com/spreadsheets/d/1C3CXT74ZlgGe6_JY_1olB1XN4rF0dxEuIIF-xsYjHgg/edit?usp=sharing"",""งบกองทุน!cd77"")"),0)</f>
        <v>0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IFERROR(__xludf.DUMMYFUNCTION("IMPORTRANGE(""https://docs.google.com/spreadsheets/d/1C3CXT74ZlgGe6_JY_1olB1XN4rF0dxEuIIF-xsYjHgg/edit?usp=sharing"",""งบกองทุน!cc77"")"),0)</f>
        <v>0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6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6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6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6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6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6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66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66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6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6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6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6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6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6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IFERROR(__xludf.DUMMYFUNCTION("IMPORTRANGE(""https://docs.google.com/spreadsheets/d/1C3CXT74ZlgGe6_JY_1olB1XN4rF0dxEuIIF-xsYjHgg/edit?usp=sharing"",""งบกองทุน!cz77"")"),0)</f>
        <v>0</v>
      </c>
      <c r="J409" s="136">
        <v>0</v>
      </c>
      <c r="K409" s="137">
        <f t="shared" ca="1" si="82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IFERROR(__xludf.DUMMYFUNCTION("IMPORTRANGE(""https://docs.google.com/spreadsheets/d/1C3CXT74ZlgGe6_JY_1olB1XN4rF0dxEuIIF-xsYjHgg/edit?usp=sharing"",""งบกองทุน!cz77"")"),0)</f>
        <v>0</v>
      </c>
      <c r="J410" s="149">
        <v>0</v>
      </c>
      <c r="K410" s="146">
        <f t="shared" ca="1" si="82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IFERROR(__xludf.DUMMYFUNCTION("IMPORTRANGE(""https://docs.google.com/spreadsheets/d/1C3CXT74ZlgGe6_JY_1olB1XN4rF0dxEuIIF-xsYjHgg/edit?usp=sharing"",""งบกองทุน!cy77"")"),0)</f>
        <v>0</v>
      </c>
      <c r="J411" s="149">
        <v>0</v>
      </c>
      <c r="K411" s="146">
        <f t="shared" ca="1" si="82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IFERROR(__xludf.DUMMYFUNCTION("IMPORTRANGE(""https://docs.google.com/spreadsheets/d/1C3CXT74ZlgGe6_JY_1olB1XN4rF0dxEuIIF-xsYjHgg/edit?usp=sharing"",""งบกองทุน!db77"")"),0)</f>
        <v>0</v>
      </c>
      <c r="K412" s="48">
        <f t="shared" si="82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IFERROR(__xludf.DUMMYFUNCTION("IMPORTRANGE(""https://docs.google.com/spreadsheets/d/1C3CXT74ZlgGe6_JY_1olB1XN4rF0dxEuIIF-xsYjHgg/edit?usp=sharing"",""งบกองทุน!da77"")"),0)</f>
        <v>0</v>
      </c>
      <c r="K413" s="48">
        <f t="shared" si="82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IFERROR(__xludf.DUMMYFUNCTION("IMPORTRANGE(""https://docs.google.com/spreadsheets/d/1C3CXT74ZlgGe6_JY_1olB1XN4rF0dxEuIIF-xsYjHgg/edit?usp=sharing"",""งบกองทุน!dd77"")"),0)</f>
        <v>0</v>
      </c>
      <c r="K414" s="48">
        <f t="shared" si="82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IFERROR(__xludf.DUMMYFUNCTION("IMPORTRANGE(""https://docs.google.com/spreadsheets/d/1C3CXT74ZlgGe6_JY_1olB1XN4rF0dxEuIIF-xsYjHgg/edit?usp=sharing"",""งบกองทุน!dc77"")"),0)</f>
        <v>0</v>
      </c>
      <c r="K415" s="48">
        <f t="shared" si="82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IFERROR(__xludf.DUMMYFUNCTION("IMPORTRANGE(""https://docs.google.com/spreadsheets/d/1C3CXT74ZlgGe6_JY_1olB1XN4rF0dxEuIIF-xsYjHgg/edit?usp=sharing"",""งบกองทุน!df77"")"),0)</f>
        <v>0</v>
      </c>
      <c r="K416" s="48">
        <f t="shared" si="82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IFERROR(__xludf.DUMMYFUNCTION("IMPORTRANGE(""https://docs.google.com/spreadsheets/d/1C3CXT74ZlgGe6_JY_1olB1XN4rF0dxEuIIF-xsYjHgg/edit?usp=sharing"",""งบกองทุน!de77"")"),0)</f>
        <v>0</v>
      </c>
      <c r="K417" s="48">
        <f t="shared" si="82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f t="shared" ca="1" si="82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f t="shared" ca="1" si="82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f t="shared" si="82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f t="shared" si="82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f t="shared" si="82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f t="shared" si="82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f t="shared" si="82"/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4">
        <v>0</v>
      </c>
      <c r="J425" s="300">
        <v>0</v>
      </c>
      <c r="K425" s="301">
        <f t="shared" si="82"/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10</v>
      </c>
      <c r="J426" s="257">
        <f t="shared" si="91"/>
        <v>8</v>
      </c>
      <c r="K426" s="258">
        <f ca="1">IF(I426&gt;0,J426*100/I426,0)</f>
        <v>80</v>
      </c>
      <c r="L426" s="259">
        <f t="shared" ref="L426:M426" ca="1" si="92">SUM(L427:L428)</f>
        <v>24140</v>
      </c>
      <c r="M426" s="259">
        <f t="shared" si="92"/>
        <v>0</v>
      </c>
      <c r="N426" s="259">
        <f t="shared" ref="N426:N430" ca="1" si="93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24140</v>
      </c>
      <c r="M428" s="52">
        <f t="shared" si="94"/>
        <v>0</v>
      </c>
      <c r="N428" s="52">
        <f t="shared" ca="1" si="93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IFERROR(__xludf.DUMMYFUNCTION("IMPORTRANGE(""https://docs.google.com/spreadsheets/d/1C3CXT74ZlgGe6_JY_1olB1XN4rF0dxEuIIF-xsYjHgg/edit?usp=sharing"",""งบกองทุน!dn77"")"),0)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IFERROR(__xludf.DUMMYFUNCTION("IMPORTRANGE(""https://docs.google.com/spreadsheets/d/1C3CXT74ZlgGe6_JY_1olB1XN4rF0dxEuIIF-xsYjHgg/edit?usp=sharing"",""งบกองทุน!do77"")"),24140)</f>
        <v>24140</v>
      </c>
      <c r="M430" s="52">
        <f>SUM(M431:M434)</f>
        <v>0</v>
      </c>
      <c r="N430" s="52">
        <f t="shared" ca="1" si="93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IFERROR(__xludf.DUMMYFUNCTION("IMPORTRANGE(""https://docs.google.com/spreadsheets/d/1C3CXT74ZlgGe6_JY_1olB1XN4rF0dxEuIIF-xsYjHgg/edit?usp=sharing"",""งบกองทุน!dq77"")"),10)</f>
        <v>10</v>
      </c>
      <c r="J440" s="67">
        <v>8</v>
      </c>
      <c r="K440" s="48">
        <f t="shared" ref="K440:K441" ca="1" si="95">IF(I440&gt;0,J440*100/I440,0)</f>
        <v>80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IFERROR(__xludf.DUMMYFUNCTION("IMPORTRANGE(""https://docs.google.com/spreadsheets/d/1C3CXT74ZlgGe6_JY_1olB1XN4rF0dxEuIIF-xsYjHgg/edit?usp=sharing"",""งบกองทุน!dr77"")"),10)</f>
        <v>10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/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IFERROR(__xludf.DUMMYFUNCTION("IMPORTRANGE(""https://docs.google.com/spreadsheets/d/1C3CXT74ZlgGe6_JY_1olB1XN4rF0dxEuIIF-xsYjHgg/edit?usp=sharing"",""งบกองทุน!dt77"")"),0)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IFERROR(__xludf.DUMMYFUNCTION("IMPORTRANGE(""https://docs.google.com/spreadsheets/d/1C3CXT74ZlgGe6_JY_1olB1XN4rF0dxEuIIF-xsYjHgg/edit?usp=sharing"",""งบกองทุน!du77"")"),0)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IFERROR(__xludf.DUMMYFUNCTION("IMPORTRANGE(""https://docs.google.com/spreadsheets/d/1C3CXT74ZlgGe6_JY_1olB1XN4rF0dxEuIIF-xsYjHgg/edit?usp=sharing"",""งบกองทุน!dw77"")"),0)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IFERROR(__xludf.DUMMYFUNCTION("IMPORTRANGE(""https://docs.google.com/spreadsheets/d/1C3CXT74ZlgGe6_JY_1olB1XN4rF0dxEuIIF-xsYjHgg/edit?usp=sharing"",""งบกองทุน!dx77"")"),0)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IFERROR(__xludf.DUMMYFUNCTION("IMPORTRANGE(""https://docs.google.com/spreadsheets/d/1C3CXT74ZlgGe6_JY_1olB1XN4rF0dxEuIIF-xsYjHgg/edit?usp=sharing"",""งบกองทุน!dy77"")"),0)</f>
        <v>0</v>
      </c>
      <c r="J455" s="66">
        <v>0</v>
      </c>
      <c r="K455" s="48">
        <f t="shared" ca="1" si="100"/>
        <v>0</v>
      </c>
      <c r="L455" s="60"/>
      <c r="M455" s="60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IFERROR(__xludf.DUMMYFUNCTION("IMPORTRANGE(""https://docs.google.com/spreadsheets/d/1C3CXT74ZlgGe6_JY_1olB1XN4rF0dxEuIIF-xsYjHgg/edit?usp=sharing"",""งบกองทุน!dz77"")"),0)</f>
        <v>0</v>
      </c>
      <c r="J456" s="66">
        <v>0</v>
      </c>
      <c r="K456" s="48">
        <f t="shared" ca="1" si="100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20</v>
      </c>
      <c r="J457" s="226">
        <f>+J466</f>
        <v>5</v>
      </c>
      <c r="K457" s="227">
        <f t="shared" ca="1" si="100"/>
        <v>25</v>
      </c>
      <c r="L457" s="228">
        <f t="shared" ref="L457:M457" ca="1" si="101">SUM(L458:L459)</f>
        <v>117840</v>
      </c>
      <c r="M457" s="228">
        <f t="shared" si="101"/>
        <v>0</v>
      </c>
      <c r="N457" s="228">
        <f t="shared" ref="N457:N461" ca="1" si="102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117840</v>
      </c>
      <c r="M459" s="52">
        <f t="shared" si="103"/>
        <v>0</v>
      </c>
      <c r="N459" s="52">
        <f t="shared" ca="1" si="102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IFERROR(__xludf.DUMMYFUNCTION("IMPORTRANGE(""https://docs.google.com/spreadsheets/d/1C3CXT74ZlgGe6_JY_1olB1XN4rF0dxEuIIF-xsYjHgg/edit?usp=sharing"",""งบกองทุน!Eb77"")"),0)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IFERROR(__xludf.DUMMYFUNCTION("IMPORTRANGE(""https://docs.google.com/spreadsheets/d/1C3CXT74ZlgGe6_JY_1olB1XN4rF0dxEuIIF-xsYjHgg/edit?usp=sharing"",""งบกองทุน!Ec77"")"),117840)</f>
        <v>117840</v>
      </c>
      <c r="M461" s="52">
        <f>SUM(M462:M465)</f>
        <v>0</v>
      </c>
      <c r="N461" s="52">
        <f t="shared" ca="1" si="102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IFERROR(__xludf.DUMMYFUNCTION("IMPORTRANGE(""https://docs.google.com/spreadsheets/d/1C3CXT74ZlgGe6_JY_1olB1XN4rF0dxEuIIF-xsYjHgg/edit?usp=sharing"",""งบกองทุน!Ed77"")"),20)</f>
        <v>20</v>
      </c>
      <c r="J466" s="265">
        <f>+J469+J470+J471+J472</f>
        <v>5</v>
      </c>
      <c r="K466" s="79">
        <f ca="1">IF(I466&gt;0,J466*100/I466,0)</f>
        <v>25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5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0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IFERROR(__xludf.DUMMYFUNCTION("IMPORTRANGE(""https://docs.google.com/spreadsheets/d/1C3CXT74ZlgGe6_JY_1olB1XN4rF0dxEuIIF-xsYjHgg/edit?usp=sharing"",""งบกองทุน!Ek77"")"),0)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IFERROR(__xludf.DUMMYFUNCTION("IMPORTRANGE(""https://docs.google.com/spreadsheets/d/1C3CXT74ZlgGe6_JY_1olB1XN4rF0dxEuIIF-xsYjHgg/edit?usp=sharing"",""งบกองทุน!El77"")"),0)</f>
        <v>0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IFERROR(__xludf.DUMMYFUNCTION("IMPORTRANGE(""https://docs.google.com/spreadsheets/d/1C3CXT74ZlgGe6_JY_1olB1XN4rF0dxEuIIF-xsYjHgg/edit?usp=sharing"",""งบกองทุน!Em77"")"),0)</f>
        <v>0</v>
      </c>
      <c r="J482" s="66">
        <f ca="1">IFERROR(__xludf.DUMMYFUNCTION("IMPORTRANGE(""https://docs.google.com/spreadsheets/d/1AGHcLOeeYFL3K4b9R1dSzyJy00PE_ra89DNTVfnxSWM/edit?usp=sharing"",""รวมที่ชุมชน!G66"")"),0)</f>
        <v>0</v>
      </c>
      <c r="K482" s="48">
        <f t="shared" ref="K482:K489" ca="1" si="107">IF(I482&gt;0,J482*100/I482,0)</f>
        <v>0</v>
      </c>
      <c r="L482" s="60"/>
      <c r="M482" s="52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IFERROR(__xludf.DUMMYFUNCTION("IMPORTRANGE(""https://docs.google.com/spreadsheets/d/1C3CXT74ZlgGe6_JY_1olB1XN4rF0dxEuIIF-xsYjHgg/edit?usp=sharing"",""งบกองทุน!En77"")"),0)</f>
        <v>0</v>
      </c>
      <c r="J483" s="66">
        <f ca="1">IFERROR(__xludf.DUMMYFUNCTION("IMPORTRANGE(""https://docs.google.com/spreadsheets/d/1AGHcLOeeYFL3K4b9R1dSzyJy00PE_ra89DNTVfnxSWM/edit?usp=sharing"",""รวมที่ชุมชน!H66"")"),0)</f>
        <v>0</v>
      </c>
      <c r="K483" s="200">
        <f t="shared" ca="1" si="107"/>
        <v>0</v>
      </c>
      <c r="L483" s="60"/>
      <c r="M483" s="52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IFERROR(__xludf.DUMMYFUNCTION("IMPORTRANGE(""https://docs.google.com/spreadsheets/d/1C3CXT74ZlgGe6_JY_1olB1XN4rF0dxEuIIF-xsYjHgg/edit?usp=sharing"",""งบกองทุน!Eo77"")"),0)</f>
        <v>0</v>
      </c>
      <c r="J484" s="66">
        <f ca="1">IFERROR(__xludf.DUMMYFUNCTION("IMPORTRANGE(""https://docs.google.com/spreadsheets/d/1AGHcLOeeYFL3K4b9R1dSzyJy00PE_ra89DNTVfnxSWM/edit?usp=sharing"",""รวมที่ชุมชน!J66"")"),0)</f>
        <v>0</v>
      </c>
      <c r="K484" s="48">
        <f t="shared" ca="1" si="107"/>
        <v>0</v>
      </c>
      <c r="L484" s="60"/>
      <c r="M484" s="52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IFERROR(__xludf.DUMMYFUNCTION("IMPORTRANGE(""https://docs.google.com/spreadsheets/d/1C3CXT74ZlgGe6_JY_1olB1XN4rF0dxEuIIF-xsYjHgg/edit?usp=sharing"",""งบกองทุน!Ep77"")"),0)</f>
        <v>0</v>
      </c>
      <c r="J485" s="66">
        <f ca="1">IFERROR(__xludf.DUMMYFUNCTION("IMPORTRANGE(""https://docs.google.com/spreadsheets/d/1AGHcLOeeYFL3K4b9R1dSzyJy00PE_ra89DNTVfnxSWM/edit?usp=sharing"",""รวมที่ชุมชน!L66"")"),0)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IFERROR(__xludf.DUMMYFUNCTION("IMPORTRANGE(""https://docs.google.com/spreadsheets/d/1C3CXT74ZlgGe6_JY_1olB1XN4rF0dxEuIIF-xsYjHgg/edit?usp=sharing"",""งบกองทุน!Eq77"")"),0)</f>
        <v>0</v>
      </c>
      <c r="J486" s="66">
        <f ca="1">IFERROR(__xludf.DUMMYFUNCTION("IMPORTRANGE(""https://docs.google.com/spreadsheets/d/1AGHcLOeeYFL3K4b9R1dSzyJy00PE_ra89DNTVfnxSWM/edit?usp=sharing"",""รวมที่ชุมชน!S66"")"),0)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IFERROR(__xludf.DUMMYFUNCTION("IMPORTRANGE(""https://docs.google.com/spreadsheets/d/1C3CXT74ZlgGe6_JY_1olB1XN4rF0dxEuIIF-xsYjHgg/edit?usp=sharing"",""งบกองทุน!Er77"")"),0)</f>
        <v>0</v>
      </c>
      <c r="J487" s="66">
        <f ca="1">IFERROR(__xludf.DUMMYFUNCTION("IMPORTRANGE(""https://docs.google.com/spreadsheets/d/1AGHcLOeeYFL3K4b9R1dSzyJy00PE_ra89DNTVfnxSWM/edit?usp=sharing"",""รวมที่ชุมชน!U66"")"),0)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IFERROR(__xludf.DUMMYFUNCTION("IMPORTRANGE(""https://docs.google.com/spreadsheets/d/1C3CXT74ZlgGe6_JY_1olB1XN4rF0dxEuIIF-xsYjHgg/edit?usp=sharing"",""งบกองทุน!Es77"")"),0)</f>
        <v>0</v>
      </c>
      <c r="J488" s="66">
        <f ca="1">IFERROR(__xludf.DUMMYFUNCTION("IMPORTRANGE(""https://docs.google.com/spreadsheets/d/1AGHcLOeeYFL3K4b9R1dSzyJy00PE_ra89DNTVfnxSWM/edit?usp=sharing"",""รวมที่ชุมชน!V66"")"),0)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IFERROR(__xludf.DUMMYFUNCTION("IMPORTRANGE(""https://docs.google.com/spreadsheets/d/1C3CXT74ZlgGe6_JY_1olB1XN4rF0dxEuIIF-xsYjHgg/edit?usp=sharing"",""งบกองทุน!Et77"")"),0)</f>
        <v>0</v>
      </c>
      <c r="J489" s="111">
        <f ca="1">IFERROR(__xludf.DUMMYFUNCTION("IMPORTRANGE(""https://docs.google.com/spreadsheets/d/1AGHcLOeeYFL3K4b9R1dSzyJy00PE_ra89DNTVfnxSWM/edit?usp=sharing"",""รวมที่ชุมชน!X66"")"),0)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100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7300</v>
      </c>
      <c r="M490" s="259">
        <f>SUM(M491:M492)</f>
        <v>1800</v>
      </c>
      <c r="N490" s="259">
        <f t="shared" ref="N490:N494" ca="1" si="109">+IF(L490&gt;0,M490*100/L490,0)</f>
        <v>24.657534246575342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7300</v>
      </c>
      <c r="M492" s="52">
        <f t="shared" si="110"/>
        <v>1800</v>
      </c>
      <c r="N492" s="52">
        <f t="shared" ca="1" si="109"/>
        <v>24.657534246575342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IFERROR(__xludf.DUMMYFUNCTION("IMPORTRANGE(""https://docs.google.com/spreadsheets/d/1C3CXT74ZlgGe6_JY_1olB1XN4rF0dxEuIIF-xsYjHgg/edit?usp=sharing"",""งบกองทุน!Ev77"")"),0)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IFERROR(__xludf.DUMMYFUNCTION("IMPORTRANGE(""https://docs.google.com/spreadsheets/d/1C3CXT74ZlgGe6_JY_1olB1XN4rF0dxEuIIF-xsYjHgg/edit?usp=sharing"",""งบกองทุน!Ew77"")"),7300)</f>
        <v>7300</v>
      </c>
      <c r="M494" s="52">
        <f>SUM(M495:M498)</f>
        <v>1800</v>
      </c>
      <c r="N494" s="52">
        <f t="shared" ca="1" si="109"/>
        <v>24.657534246575342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1800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IFERROR(__xludf.DUMMYFUNCTION("IMPORTRANGE(""https://docs.google.com/spreadsheets/d/1C3CXT74ZlgGe6_JY_1olB1XN4rF0dxEuIIF-xsYjHgg/edit?usp=sharing"",""งบกองทุน!EZ77"")"),100)</f>
        <v>100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132.91999999999999</v>
      </c>
      <c r="K505" s="48">
        <f t="shared" ca="1" si="111"/>
        <v>132.91999999999999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123.04</v>
      </c>
      <c r="K506" s="48">
        <f t="shared" ca="1" si="111"/>
        <v>123.04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IFERROR(__xludf.DUMMYFUNCTION("IMPORTRANGE(""https://docs.google.com/spreadsheets/d/1C3CXT74ZlgGe6_JY_1olB1XN4rF0dxEuIIF-xsYjHgg/edit?usp=sharing"",""งบกองทุน!ff77"")"),925)</f>
        <v>925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IFERROR(__xludf.DUMMYFUNCTION("IMPORTRANGE(""https://docs.google.com/spreadsheets/d/1muirlRDkqiswvy_NRZ3Yh955hx-PF6_HhssUYiSJj8o/edit?usp=sharing"",""กองทุน!D77"")"),520000)</f>
        <v>520000</v>
      </c>
      <c r="J521" s="199">
        <f ca="1">IFERROR(__xludf.DUMMYFUNCTION("IMPORTRANGE(""https://docs.google.com/spreadsheets/d/1muirlRDkqiswvy_NRZ3Yh955hx-PF6_HhssUYiSJj8o/edit?usp=sharing"",""กองทุน!F77"")"),0)</f>
        <v>0</v>
      </c>
      <c r="K521" s="200">
        <f t="shared" ref="K521:K528" ca="1" si="116">IF(I521&gt;0,J521*100/I521,0)</f>
        <v>0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IFERROR(__xludf.DUMMYFUNCTION("IMPORTRANGE(""https://docs.google.com/spreadsheets/d/1muirlRDkqiswvy_NRZ3Yh955hx-PF6_HhssUYiSJj8o/edit?usp=sharing"",""กองทุน!C77"")"),18)</f>
        <v>18</v>
      </c>
      <c r="J522" s="199">
        <f ca="1">IFERROR(__xludf.DUMMYFUNCTION("IMPORTRANGE(""https://docs.google.com/spreadsheets/d/1muirlRDkqiswvy_NRZ3Yh955hx-PF6_HhssUYiSJj8o/edit?usp=sharing"",""กองทุน!E77"")"),0)</f>
        <v>0</v>
      </c>
      <c r="K522" s="200">
        <f t="shared" ca="1" si="116"/>
        <v>0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IFERROR(__xludf.DUMMYFUNCTION("IMPORTRANGE(""https://docs.google.com/spreadsheets/d/1muirlRDkqiswvy_NRZ3Yh955hx-PF6_HhssUYiSJj8o/edit?usp=sharing"",""กองทุน!I77"")"),0)</f>
        <v>0</v>
      </c>
      <c r="J523" s="199">
        <f ca="1">IFERROR(__xludf.DUMMYFUNCTION("IMPORTRANGE(""https://docs.google.com/spreadsheets/d/1muirlRDkqiswvy_NRZ3Yh955hx-PF6_HhssUYiSJj8o/edit?usp=sharing"",""กองทุน!K77"")"),0)</f>
        <v>0</v>
      </c>
      <c r="K523" s="200">
        <f t="shared" ca="1" si="116"/>
        <v>0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IFERROR(__xludf.DUMMYFUNCTION("IMPORTRANGE(""https://docs.google.com/spreadsheets/d/1muirlRDkqiswvy_NRZ3Yh955hx-PF6_HhssUYiSJj8o/edit?usp=sharing"",""กองทุน!H77"")"),0)</f>
        <v>0</v>
      </c>
      <c r="J524" s="199">
        <f ca="1">IFERROR(__xludf.DUMMYFUNCTION("IMPORTRANGE(""https://docs.google.com/spreadsheets/d/1muirlRDkqiswvy_NRZ3Yh955hx-PF6_HhssUYiSJj8o/edit?usp=sharing"",""กองทุน!J77"")"),0)</f>
        <v>0</v>
      </c>
      <c r="K524" s="200">
        <f t="shared" ca="1" si="116"/>
        <v>0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IFERROR(__xludf.DUMMYFUNCTION("IMPORTRANGE(""https://docs.google.com/spreadsheets/d/1muirlRDkqiswvy_NRZ3Yh955hx-PF6_HhssUYiSJj8o/edit?usp=sharing"",""กองทุน!N77"")"),69433.95)</f>
        <v>69433.95</v>
      </c>
      <c r="J525" s="199">
        <f ca="1">IFERROR(__xludf.DUMMYFUNCTION("IMPORTRANGE(""https://docs.google.com/spreadsheets/d/1muirlRDkqiswvy_NRZ3Yh955hx-PF6_HhssUYiSJj8o/edit?usp=sharing"",""กองทุน!P77"")"),0)</f>
        <v>0</v>
      </c>
      <c r="K525" s="200">
        <f t="shared" ca="1" si="116"/>
        <v>0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IFERROR(__xludf.DUMMYFUNCTION("IMPORTRANGE(""https://docs.google.com/spreadsheets/d/1muirlRDkqiswvy_NRZ3Yh955hx-PF6_HhssUYiSJj8o/edit?usp=sharing"",""กองทุน!M77"")"),25)</f>
        <v>25</v>
      </c>
      <c r="J526" s="199">
        <f ca="1">IFERROR(__xludf.DUMMYFUNCTION("IMPORTRANGE(""https://docs.google.com/spreadsheets/d/1muirlRDkqiswvy_NRZ3Yh955hx-PF6_HhssUYiSJj8o/edit?usp=sharing"",""กองทุน!O77"")"),0)</f>
        <v>0</v>
      </c>
      <c r="K526" s="200">
        <f t="shared" ca="1" si="116"/>
        <v>0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IFERROR(__xludf.DUMMYFUNCTION("IMPORTRANGE(""https://docs.google.com/spreadsheets/d/1muirlRDkqiswvy_NRZ3Yh955hx-PF6_HhssUYiSJj8o/edit?usp=sharing"",""กองทุน!S77"")"),520000)</f>
        <v>520000</v>
      </c>
      <c r="J527" s="199">
        <f ca="1">IFERROR(__xludf.DUMMYFUNCTION("IMPORTRANGE(""https://docs.google.com/spreadsheets/d/1muirlRDkqiswvy_NRZ3Yh955hx-PF6_HhssUYiSJj8o/edit?usp=sharing"",""กองทุน!U77"")"),0)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IFERROR(__xludf.DUMMYFUNCTION("IMPORTRANGE(""https://docs.google.com/spreadsheets/d/1muirlRDkqiswvy_NRZ3Yh955hx-PF6_HhssUYiSJj8o/edit?usp=sharing"",""กองทุน!R77"")"),19)</f>
        <v>19</v>
      </c>
      <c r="J528" s="324">
        <f ca="1">IFERROR(__xludf.DUMMYFUNCTION("IMPORTRANGE(""https://docs.google.com/spreadsheets/d/1muirlRDkqiswvy_NRZ3Yh955hx-PF6_HhssUYiSJj8o/edit?usp=sharing"",""กองทุน!T77"")"),0)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  <pageSetUpPr fitToPage="1"/>
  </sheetPr>
  <dimension ref="A1:N1036"/>
  <sheetViews>
    <sheetView view="pageBreakPreview" zoomScale="60" zoomScaleNormal="100" workbookViewId="0">
      <selection activeCell="A5" sqref="A5:G5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68" t="s">
        <v>0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</row>
    <row r="2" spans="1:14" ht="18" customHeight="1" x14ac:dyDescent="0.55000000000000004">
      <c r="A2" s="368" t="s">
        <v>244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</row>
    <row r="3" spans="1:14" ht="18" customHeight="1" x14ac:dyDescent="0.55000000000000004">
      <c r="A3" s="368" t="s">
        <v>247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70" t="s">
        <v>4</v>
      </c>
      <c r="B5" s="371"/>
      <c r="C5" s="371"/>
      <c r="D5" s="371"/>
      <c r="E5" s="371"/>
      <c r="F5" s="371"/>
      <c r="G5" s="372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2143555</v>
      </c>
      <c r="M6" s="16">
        <f t="shared" si="0"/>
        <v>128954.41</v>
      </c>
      <c r="N6" s="17">
        <f ca="1">IF(L6&gt;0,M6*100/L6,0)</f>
        <v>6.0159132842404324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2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947200</v>
      </c>
      <c r="M9" s="40">
        <f>SUM(M11:M12)</f>
        <v>40900</v>
      </c>
      <c r="N9" s="39">
        <f ca="1">IF(L9&gt;0,M9*100/L9,0)</f>
        <v>4.3179898648648649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70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IFERROR(__xludf.DUMMYFUNCTION("IMPORTRANGE(""https://docs.google.com/spreadsheets/d/1C3CXT74ZlgGe6_JY_1olB1XN4rF0dxEuIIF-xsYjHgg/edit?usp=sharing"",""พรบ!C78"")"),947200)</f>
        <v>947200</v>
      </c>
      <c r="M12" s="49">
        <f>SUM(M13:M14)</f>
        <v>40900</v>
      </c>
      <c r="N12" s="49">
        <f t="shared" ca="1" si="4"/>
        <v>4.3179898648648649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47"/>
      <c r="K13" s="48"/>
      <c r="L13" s="52">
        <f ca="1">IFERROR(__xludf.DUMMYFUNCTION("IMPORTRANGE(""https://docs.google.com/spreadsheets/d/1C3CXT74ZlgGe6_JY_1olB1XN4rF0dxEuIIF-xsYjHgg/edit?usp=sharing"",""พรบ!D78"")"),317200)</f>
        <v>317200</v>
      </c>
      <c r="M13" s="53">
        <v>27900</v>
      </c>
      <c r="N13" s="52">
        <f t="shared" ca="1" si="4"/>
        <v>8.7957124842370735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47"/>
      <c r="K14" s="48"/>
      <c r="L14" s="52">
        <f ca="1">IFERROR(__xludf.DUMMYFUNCTION("IMPORTRANGE(""https://docs.google.com/spreadsheets/d/1C3CXT74ZlgGe6_JY_1olB1XN4rF0dxEuIIF-xsYjHgg/edit?usp=sharing"",""พรบ!E78"")"),630000)</f>
        <v>630000</v>
      </c>
      <c r="M14" s="53">
        <v>13000</v>
      </c>
      <c r="N14" s="52">
        <f t="shared" ca="1" si="4"/>
        <v>2.0634920634920637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v>0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v>1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7">
        <v>1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7">
        <v>1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2</v>
      </c>
      <c r="J20" s="78">
        <f t="shared" si="5"/>
        <v>0</v>
      </c>
      <c r="K20" s="79">
        <f t="shared" ref="K20:K28" ca="1" si="6">IF(I20&gt;0,J20*100/I20,0)</f>
        <v>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70</v>
      </c>
      <c r="J21" s="78">
        <f t="shared" si="7"/>
        <v>0</v>
      </c>
      <c r="K21" s="79">
        <f t="shared" ca="1" si="6"/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IFERROR(__xludf.DUMMYFUNCTION("IMPORTRANGE(""https://docs.google.com/spreadsheets/d/1C3CXT74ZlgGe6_JY_1olB1XN4rF0dxEuIIF-xsYjHgg/edit?usp=sharing"",""พรบ!H78"")"),0)</f>
        <v>0</v>
      </c>
      <c r="J22" s="66">
        <v>0</v>
      </c>
      <c r="K22" s="48">
        <f t="shared" ca="1" si="6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IFERROR(__xludf.DUMMYFUNCTION("IMPORTRANGE(""https://docs.google.com/spreadsheets/d/1C3CXT74ZlgGe6_JY_1olB1XN4rF0dxEuIIF-xsYjHgg/edit?usp=sharing"",""พรบ!I78"")"),0)</f>
        <v>0</v>
      </c>
      <c r="J23" s="66">
        <v>0</v>
      </c>
      <c r="K23" s="48">
        <f t="shared" ca="1" si="6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IFERROR(__xludf.DUMMYFUNCTION("IMPORTRANGE(""https://docs.google.com/spreadsheets/d/1C3CXT74ZlgGe6_JY_1olB1XN4rF0dxEuIIF-xsYjHgg/edit?usp=sharing"",""พรบ!J78"")"),0)</f>
        <v>0</v>
      </c>
      <c r="J24" s="66">
        <v>0</v>
      </c>
      <c r="K24" s="48">
        <f t="shared" ca="1" si="6"/>
        <v>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IFERROR(__xludf.DUMMYFUNCTION("IMPORTRANGE(""https://docs.google.com/spreadsheets/d/1C3CXT74ZlgGe6_JY_1olB1XN4rF0dxEuIIF-xsYjHgg/edit?usp=sharing"",""พรบ!K78"")"),0)</f>
        <v>0</v>
      </c>
      <c r="J25" s="66">
        <v>0</v>
      </c>
      <c r="K25" s="48">
        <f t="shared" ca="1" si="6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IFERROR(__xludf.DUMMYFUNCTION("IMPORTRANGE(""https://docs.google.com/spreadsheets/d/1C3CXT74ZlgGe6_JY_1olB1XN4rF0dxEuIIF-xsYjHgg/edit?usp=sharing"",""พรบ!L78"")"),2)</f>
        <v>2</v>
      </c>
      <c r="J26" s="67">
        <v>0</v>
      </c>
      <c r="K26" s="48">
        <f t="shared" ca="1" si="6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IFERROR(__xludf.DUMMYFUNCTION("IMPORTRANGE(""https://docs.google.com/spreadsheets/d/1C3CXT74ZlgGe6_JY_1olB1XN4rF0dxEuIIF-xsYjHgg/edit?usp=sharing"",""พรบ!M78"")"),70)</f>
        <v>70</v>
      </c>
      <c r="J27" s="67">
        <v>0</v>
      </c>
      <c r="K27" s="48">
        <f t="shared" ca="1" si="6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IFERROR(__xludf.DUMMYFUNCTION("IMPORTRANGE(""https://docs.google.com/spreadsheets/d/1C3CXT74ZlgGe6_JY_1olB1XN4rF0dxEuIIF-xsYjHgg/edit?usp=sharing"",""พรบ!N78"")"),0)</f>
        <v>0</v>
      </c>
      <c r="J28" s="66">
        <v>0</v>
      </c>
      <c r="K28" s="48">
        <f t="shared" ca="1" si="6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7"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IFERROR(__xludf.DUMMYFUNCTION("IMPORTRANGE(""https://docs.google.com/spreadsheets/d/1C3CXT74ZlgGe6_JY_1olB1XN4rF0dxEuIIF-xsYjHgg/edit?usp=sharing"",""พรบ!O78"")"),0)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IFERROR(__xludf.DUMMYFUNCTION("IMPORTRANGE(""https://docs.google.com/spreadsheets/d/1C3CXT74ZlgGe6_JY_1olB1XN4rF0dxEuIIF-xsYjHgg/edit?usp=sharing"",""พรบ!P78"")"),0)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IFERROR(__xludf.DUMMYFUNCTION("IMPORTRANGE(""https://docs.google.com/spreadsheets/d/1C3CXT74ZlgGe6_JY_1olB1XN4rF0dxEuIIF-xsYjHgg/edit?usp=sharing"",""พรบ!Q78"")"),0)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IFERROR(__xludf.DUMMYFUNCTION("IMPORTRANGE(""https://docs.google.com/spreadsheets/d/1C3CXT74ZlgGe6_JY_1olB1XN4rF0dxEuIIF-xsYjHgg/edit?usp=sharing"",""พรบ!R78"")"),0)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IFERROR(__xludf.DUMMYFUNCTION("IMPORTRANGE(""https://docs.google.com/spreadsheets/d/1C3CXT74ZlgGe6_JY_1olB1XN4rF0dxEuIIF-xsYjHgg/edit?usp=sharing"",""พรบ!S78"")"),0)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IFERROR(__xludf.DUMMYFUNCTION("IMPORTRANGE(""https://docs.google.com/spreadsheets/d/1C3CXT74ZlgGe6_JY_1olB1XN4rF0dxEuIIF-xsYjHgg/edit?usp=sharing"",""พรบ!T78"")"),0)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IFERROR(__xludf.DUMMYFUNCTION("IMPORTRANGE(""https://docs.google.com/spreadsheets/d/1C3CXT74ZlgGe6_JY_1olB1XN4rF0dxEuIIF-xsYjHgg/edit?usp=sharing"",""พรบ!U78"")"),0)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IFERROR(__xludf.DUMMYFUNCTION("IMPORTRANGE(""https://docs.google.com/spreadsheets/d/1C3CXT74ZlgGe6_JY_1olB1XN4rF0dxEuIIF-xsYjHgg/edit?usp=sharing"",""พรบ!V78"")"),0)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IFERROR(__xludf.DUMMYFUNCTION("IMPORTRANGE(""https://docs.google.com/spreadsheets/d/1C3CXT74ZlgGe6_JY_1olB1XN4rF0dxEuIIF-xsYjHgg/edit?usp=sharing"",""พรบ!W78"")"),0)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6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15</v>
      </c>
      <c r="J52" s="38">
        <f>+J62</f>
        <v>0</v>
      </c>
      <c r="K52" s="39">
        <f ca="1">IF(I52&gt;0,J52*100/I52,0)</f>
        <v>0</v>
      </c>
      <c r="L52" s="40">
        <f ca="1">L53+L54</f>
        <v>64890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64890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IFERROR(__xludf.DUMMYFUNCTION("IMPORTRANGE(""https://docs.google.com/spreadsheets/d/1C3CXT74ZlgGe6_JY_1olB1XN4rF0dxEuIIF-xsYjHgg/edit?usp=sharing"",""พรบ!Y78"")"),0)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47"/>
      <c r="K56" s="48"/>
      <c r="L56" s="52">
        <f ca="1">IFERROR(__xludf.DUMMYFUNCTION("IMPORTRANGE(""https://docs.google.com/spreadsheets/d/1C3CXT74ZlgGe6_JY_1olB1XN4rF0dxEuIIF-xsYjHgg/edit?usp=sharing"",""พรบ!Z78"")"),64890)</f>
        <v>64890</v>
      </c>
      <c r="M56" s="53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246</v>
      </c>
      <c r="E57" s="57"/>
      <c r="F57" s="57"/>
      <c r="G57" s="58"/>
      <c r="H57" s="59"/>
      <c r="I57" s="47"/>
      <c r="J57" s="47"/>
      <c r="K57" s="48"/>
      <c r="L57" s="60"/>
      <c r="M57" s="60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7">
        <v>1</v>
      </c>
      <c r="K58" s="48"/>
      <c r="L58" s="60"/>
      <c r="M58" s="60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7">
        <v>0</v>
      </c>
      <c r="K59" s="48"/>
      <c r="L59" s="60" t="s">
        <v>21</v>
      </c>
      <c r="M59" s="60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7">
        <v>0</v>
      </c>
      <c r="K60" s="48"/>
      <c r="L60" s="60"/>
      <c r="M60" s="60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7">
        <v>0</v>
      </c>
      <c r="K61" s="48"/>
      <c r="L61" s="60"/>
      <c r="M61" s="60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IFERROR(__xludf.DUMMYFUNCTION("IMPORTRANGE(""https://docs.google.com/spreadsheets/d/1C3CXT74ZlgGe6_JY_1olB1XN4rF0dxEuIIF-xsYjHgg/edit?usp=sharing"",""พรบ!AA78"")"),15)</f>
        <v>15</v>
      </c>
      <c r="J62" s="67">
        <v>0</v>
      </c>
      <c r="K62" s="48">
        <f t="shared" ref="K62:K63" ca="1" si="14">IF(I62&gt;0,J62*100/I62,0)</f>
        <v>0</v>
      </c>
      <c r="L62" s="60"/>
      <c r="M62" s="60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15</v>
      </c>
      <c r="J63" s="67">
        <v>0</v>
      </c>
      <c r="K63" s="48">
        <f t="shared" ca="1" si="14"/>
        <v>0</v>
      </c>
      <c r="L63" s="60"/>
      <c r="M63" s="60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7">
        <v>0</v>
      </c>
      <c r="K64" s="48"/>
      <c r="L64" s="60"/>
      <c r="M64" s="60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112">
        <v>0</v>
      </c>
      <c r="K65" s="113"/>
      <c r="L65" s="114"/>
      <c r="M65" s="114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30500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30500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IFERROR(__xludf.DUMMYFUNCTION("IMPORTRANGE(""https://docs.google.com/spreadsheets/d/1C3CXT74ZlgGe6_JY_1olB1XN4rF0dxEuIIF-xsYjHgg/edit?usp=sharing"",""พรบ!AD78"")"),0)</f>
        <v>0</v>
      </c>
      <c r="M72" s="52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30500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IFERROR(__xludf.DUMMYFUNCTION("IMPORTRANGE(""https://docs.google.com/spreadsheets/d/1C3CXT74ZlgGe6_JY_1olB1XN4rF0dxEuIIF-xsYjHgg/edit?usp=sharing"",""พรบ!AF78"")"),7500)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1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IFERROR(__xludf.DUMMYFUNCTION("IMPORTRANGE(""https://docs.google.com/spreadsheets/d/1C3CXT74ZlgGe6_JY_1olB1XN4rF0dxEuIIF-xsYjHgg/edit?usp=sharing"",""พรบ!AG78"")"),4)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1</v>
      </c>
      <c r="J89" s="149">
        <f t="shared" si="21"/>
        <v>0</v>
      </c>
      <c r="K89" s="150">
        <f ca="1">IF(I89&gt;0,J89*100/I89,0)</f>
        <v>0</v>
      </c>
      <c r="L89" s="147">
        <f ca="1">L90+L91</f>
        <v>14000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14000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IFERROR(__xludf.DUMMYFUNCTION("IMPORTRANGE(""https://docs.google.com/spreadsheets/d/1C3CXT74ZlgGe6_JY_1olB1XN4rF0dxEuIIF-xsYjHgg/edit?usp=sharing"",""พรบ!AH78"")"),14000)</f>
        <v>14000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1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IFERROR(__xludf.DUMMYFUNCTION("IMPORTRANGE(""https://docs.google.com/spreadsheets/d/1C3CXT74ZlgGe6_JY_1olB1XN4rF0dxEuIIF-xsYjHgg/edit?usp=sharing"",""พรบ!AI78"")"),1)</f>
        <v>1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IFERROR(__xludf.DUMMYFUNCTION("IMPORTRANGE(""https://docs.google.com/spreadsheets/d/1C3CXT74ZlgGe6_JY_1olB1XN4rF0dxEuIIF-xsYjHgg/edit?usp=sharing"",""กปร!C78"")"),12000)</f>
        <v>12000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IFERROR(__xludf.DUMMYFUNCTION("IMPORTRANGE(""https://docs.google.com/spreadsheets/d/1C3CXT74ZlgGe6_JY_1olB1XN4rF0dxEuIIF-xsYjHgg/edit?usp=sharing"",""พรบ!AJ78"")"),0)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IFERROR(__xludf.DUMMYFUNCTION("IMPORTRANGE(""https://docs.google.com/spreadsheets/d/1C3CXT74ZlgGe6_JY_1olB1XN4rF0dxEuIIF-xsYjHgg/edit?usp=sharing"",""พรบ!AK78"")"),0)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IFERROR(__xludf.DUMMYFUNCTION("IMPORTRANGE(""https://docs.google.com/spreadsheets/d/1C3CXT74ZlgGe6_JY_1olB1XN4rF0dxEuIIF-xsYjHgg/edit?usp=sharing"",""กปร!D78"")"),0)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IFERROR(__xludf.DUMMYFUNCTION("IMPORTRANGE(""https://docs.google.com/spreadsheets/d/1C3CXT74ZlgGe6_JY_1olB1XN4rF0dxEuIIF-xsYjHgg/edit?usp=sharing"",""พรบ!AL78"")"),0)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IFERROR(__xludf.DUMMYFUNCTION("IMPORTRANGE(""https://docs.google.com/spreadsheets/d/1C3CXT74ZlgGe6_JY_1olB1XN4rF0dxEuIIF-xsYjHgg/edit?usp=sharing"",""กปร!E78"")"),0)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6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20000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9000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9000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IFERROR(__xludf.DUMMYFUNCTION("IMPORTRANGE(""https://docs.google.com/spreadsheets/d/1C3CXT74ZlgGe6_JY_1olB1XN4rF0dxEuIIF-xsYjHgg/edit?usp=sharing"",""พรบ!AM78"")"),9000)</f>
        <v>9000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1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IFERROR(__xludf.DUMMYFUNCTION("IMPORTRANGE(""https://docs.google.com/spreadsheets/d/1C3CXT74ZlgGe6_JY_1olB1XN4rF0dxEuIIF-xsYjHgg/edit?usp=sharing"",""พรบ!AO78"")"),20000)</f>
        <v>20000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IFERROR(__xludf.DUMMYFUNCTION("IMPORTRANGE(""https://docs.google.com/spreadsheets/d/1C3CXT74ZlgGe6_JY_1olB1XN4rF0dxEuIIF-xsYjHgg/edit?usp=sharing"",""พรบ!AP78"")"),20000)</f>
        <v>20000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IFERROR(__xludf.DUMMYFUNCTION("IMPORTRANGE(""https://docs.google.com/spreadsheets/d/1C3CXT74ZlgGe6_JY_1olB1XN4rF0dxEuIIF-xsYjHgg/edit?usp=sharing"",""กปร!F78"")"),5000)</f>
        <v>5000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IFERROR(__xludf.DUMMYFUNCTION("IMPORTRANGE(""https://docs.google.com/spreadsheets/d/1C3CXT74ZlgGe6_JY_1olB1XN4rF0dxEuIIF-xsYjHgg/edit?usp=sharing"",""พรบ!AQ78"")"),0)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IFERROR(__xludf.DUMMYFUNCTION("IMPORTRANGE(""https://docs.google.com/spreadsheets/d/1C3CXT74ZlgGe6_JY_1olB1XN4rF0dxEuIIF-xsYjHgg/edit?usp=sharing"",""กปร!G78"")"),0)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IFERROR(__xludf.DUMMYFUNCTION("IMPORTRANGE(""https://docs.google.com/spreadsheets/d/1C3CXT74ZlgGe6_JY_1olB1XN4rF0dxEuIIF-xsYjHgg/edit?usp=sharing"",""พรบ!AR78"")"),0)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IFERROR(__xludf.DUMMYFUNCTION("IMPORTRANGE(""https://docs.google.com/spreadsheets/d/1C3CXT74ZlgGe6_JY_1olB1XN4rF0dxEuIIF-xsYjHgg/edit?usp=sharing"",""พรบ!AS78"")"),0)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IFERROR(__xludf.DUMMYFUNCTION("IMPORTRANGE(""https://docs.google.com/spreadsheets/d/1C3CXT74ZlgGe6_JY_1olB1XN4rF0dxEuIIF-xsYjHgg/edit?usp=sharing"",""กปร!H78"")"),0)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48"/>
      <c r="L139" s="60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IFERROR(__xludf.DUMMYFUNCTION("IMPORTRANGE(""https://docs.google.com/spreadsheets/d/1C3CXT74ZlgGe6_JY_1olB1XN4rF0dxEuIIF-xsYjHgg/edit?usp=sharing"",""พรบ!AT78"")"),0)</f>
        <v>0</v>
      </c>
      <c r="J140" s="67">
        <v>0</v>
      </c>
      <c r="K140" s="48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IFERROR(__xludf.DUMMYFUNCTION("IMPORTRANGE(""https://docs.google.com/spreadsheets/d/1C3CXT74ZlgGe6_JY_1olB1XN4rF0dxEuIIF-xsYjHgg/edit?usp=sharing"",""กปร!I78"")"),0)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IFERROR(__xludf.DUMMYFUNCTION("IMPORTRANGE(""https://docs.google.com/spreadsheets/d/1C3CXT74ZlgGe6_JY_1olB1XN4rF0dxEuIIF-xsYjHgg/edit?usp=sharing"",""พรบ!AU78"")"),0)</f>
        <v>0</v>
      </c>
      <c r="J141" s="67">
        <v>0</v>
      </c>
      <c r="K141" s="48">
        <f t="shared" ca="1" si="34"/>
        <v>0</v>
      </c>
      <c r="L141" s="52">
        <f ca="1">IFERROR(__xludf.DUMMYFUNCTION("IMPORTRANGE(""https://docs.google.com/spreadsheets/d/1C3CXT74ZlgGe6_JY_1olB1XN4rF0dxEuIIF-xsYjHgg/edit?usp=sharing"",""กปร!J78"")"),0)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7">
        <v>0</v>
      </c>
      <c r="K142" s="48"/>
      <c r="L142" s="60"/>
      <c r="M142" s="60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112">
        <v>0</v>
      </c>
      <c r="K143" s="113"/>
      <c r="L143" s="114"/>
      <c r="M143" s="114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15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21125</v>
      </c>
      <c r="M144" s="138">
        <f>SUM(M145:M146)</f>
        <v>14040</v>
      </c>
      <c r="N144" s="137">
        <f ca="1">IF(L144&gt;0,M144*100/L144,0)</f>
        <v>66.461538461538467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21125</v>
      </c>
      <c r="M146" s="49">
        <f t="shared" si="38"/>
        <v>14040</v>
      </c>
      <c r="N146" s="49">
        <f t="shared" ca="1" si="37"/>
        <v>66.461538461538467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IFERROR(__xludf.DUMMYFUNCTION("IMPORTRANGE(""https://docs.google.com/spreadsheets/d/1C3CXT74ZlgGe6_JY_1olB1XN4rF0dxEuIIF-xsYjHgg/edit?usp=sharing"",""พรบ!AY78"")"),21125)</f>
        <v>21125</v>
      </c>
      <c r="M148" s="53">
        <v>14040</v>
      </c>
      <c r="N148" s="52">
        <f t="shared" ca="1" si="37"/>
        <v>66.461538461538467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15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1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1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IFERROR(__xludf.DUMMYFUNCTION("IMPORTRANGE(""https://docs.google.com/spreadsheets/d/1C3CXT74ZlgGe6_JY_1olB1XN4rF0dxEuIIF-xsYjHgg/edit?usp=sharing"",""พรบ!BA78"")"),15)</f>
        <v>15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20</v>
      </c>
      <c r="J169" s="177">
        <f>+J180</f>
        <v>0</v>
      </c>
      <c r="K169" s="178">
        <f ca="1">IF(I169&gt;0,J169*100/I169,0)</f>
        <v>0</v>
      </c>
      <c r="L169" s="179">
        <f ca="1">L170+L171</f>
        <v>71400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71400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47"/>
      <c r="K172" s="48"/>
      <c r="L172" s="52">
        <f ca="1">IFERROR(__xludf.DUMMYFUNCTION("IMPORTRANGE(""https://docs.google.com/spreadsheets/d/1C3CXT74ZlgGe6_JY_1olB1XN4rF0dxEuIIF-xsYjHgg/edit?usp=sharing"",""พรบ!BD78"")"),0)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47"/>
      <c r="K173" s="48"/>
      <c r="L173" s="52">
        <f ca="1">IFERROR(__xludf.DUMMYFUNCTION("IMPORTRANGE(""https://docs.google.com/spreadsheets/d/1C3CXT74ZlgGe6_JY_1olB1XN4rF0dxEuIIF-xsYjHgg/edit?usp=sharing"",""พรบ!BE78"")"),71400)</f>
        <v>71400</v>
      </c>
      <c r="M173" s="53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v>1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v>0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v>0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v>0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IFERROR(__xludf.DUMMYFUNCTION("IMPORTRANGE(""https://docs.google.com/spreadsheets/d/1C3CXT74ZlgGe6_JY_1olB1XN4rF0dxEuIIF-xsYjHgg/edit?usp=sharing"",""พรบ!BF78"")"),1)</f>
        <v>1</v>
      </c>
      <c r="J179" s="67">
        <v>0</v>
      </c>
      <c r="K179" s="48">
        <f t="shared" ref="K179:K182" ca="1" si="41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IFERROR(__xludf.DUMMYFUNCTION("IMPORTRANGE(""https://docs.google.com/spreadsheets/d/1C3CXT74ZlgGe6_JY_1olB1XN4rF0dxEuIIF-xsYjHgg/edit?usp=sharing"",""พรบ!BG78"")"),20)</f>
        <v>20</v>
      </c>
      <c r="J180" s="67">
        <v>0</v>
      </c>
      <c r="K180" s="48">
        <f t="shared" ca="1" si="41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IFERROR(__xludf.DUMMYFUNCTION("IMPORTRANGE(""https://docs.google.com/spreadsheets/d/1C3CXT74ZlgGe6_JY_1olB1XN4rF0dxEuIIF-xsYjHgg/edit?usp=sharing"",""พรบ!BH78"")"),20)</f>
        <v>20</v>
      </c>
      <c r="J181" s="67">
        <v>0</v>
      </c>
      <c r="K181" s="48">
        <f t="shared" ca="1" si="41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IFERROR(__xludf.DUMMYFUNCTION("IMPORTRANGE(""https://docs.google.com/spreadsheets/d/1C3CXT74ZlgGe6_JY_1olB1XN4rF0dxEuIIF-xsYjHgg/edit?usp=sharing"",""พรบ!BI78"")"),1)</f>
        <v>1</v>
      </c>
      <c r="J182" s="67">
        <v>0</v>
      </c>
      <c r="K182" s="48">
        <f t="shared" ca="1" si="41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v>0</v>
      </c>
      <c r="K183" s="48"/>
      <c r="L183" s="60"/>
      <c r="M183" s="60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112">
        <v>0</v>
      </c>
      <c r="K184" s="113"/>
      <c r="L184" s="114"/>
      <c r="M184" s="114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15</v>
      </c>
      <c r="J185" s="177">
        <f>+J195</f>
        <v>0</v>
      </c>
      <c r="K185" s="178">
        <f ca="1">IF(I185&gt;0,J185*100/I185,0)</f>
        <v>0</v>
      </c>
      <c r="L185" s="179">
        <f ca="1">L186+L187</f>
        <v>105700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105700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IFERROR(__xludf.DUMMYFUNCTION("IMPORTRANGE(""https://docs.google.com/spreadsheets/d/1C3CXT74ZlgGe6_JY_1olB1XN4rF0dxEuIIF-xsYjHgg/edit?usp=sharing"",""พรบ!BK78"")"),0)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IFERROR(__xludf.DUMMYFUNCTION("IMPORTRANGE(""https://docs.google.com/spreadsheets/d/1C3CXT74ZlgGe6_JY_1olB1XN4rF0dxEuIIF-xsYjHgg/edit?usp=sharing"",""พรบ!BL78"")"),105700)</f>
        <v>105700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1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0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IFERROR(__xludf.DUMMYFUNCTION("IMPORTRANGE(""https://docs.google.com/spreadsheets/d/1C3CXT74ZlgGe6_JY_1olB1XN4rF0dxEuIIF-xsYjHgg/edit?usp=sharing"",""พรบ!BM78"")"),15)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IFERROR(__xludf.DUMMYFUNCTION("IMPORTRANGE(""https://docs.google.com/spreadsheets/d/1C3CXT74ZlgGe6_JY_1olB1XN4rF0dxEuIIF-xsYjHgg/edit?usp=sharing"",""พรบ!BP78"")"),0)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IFERROR(__xludf.DUMMYFUNCTION("IMPORTRANGE(""https://docs.google.com/spreadsheets/d/1C3CXT74ZlgGe6_JY_1olB1XN4rF0dxEuIIF-xsYjHgg/edit?usp=sharing"",""พรบ!BQ78"")"),0)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IFERROR(__xludf.DUMMYFUNCTION("IMPORTRANGE(""https://docs.google.com/spreadsheets/d/1C3CXT74ZlgGe6_JY_1olB1XN4rF0dxEuIIF-xsYjHgg/edit?usp=sharing"",""พรบ!BR78"")"),0)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IFERROR(__xludf.DUMMYFUNCTION("IMPORTRANGE(""https://docs.google.com/spreadsheets/d/1C3CXT74ZlgGe6_JY_1olB1XN4rF0dxEuIIF-xsYjHgg/edit?usp=sharing"",""พรบ!BU78"")"),0)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IFERROR(__xludf.DUMMYFUNCTION("IMPORTRANGE(""https://docs.google.com/spreadsheets/d/1C3CXT74ZlgGe6_JY_1olB1XN4rF0dxEuIIF-xsYjHgg/edit?usp=sharing"",""พรบ!BV78"")"),0)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120</v>
      </c>
      <c r="J228" s="197">
        <f ca="1">J240</f>
        <v>17</v>
      </c>
      <c r="K228" s="178">
        <f ca="1">IF(I228&gt;0,J228*100/I228,0)</f>
        <v>14.166666666666666</v>
      </c>
      <c r="L228" s="179">
        <f ca="1">L229+L230</f>
        <v>902740</v>
      </c>
      <c r="M228" s="179">
        <f>SUM(M229:M230)</f>
        <v>74014.41</v>
      </c>
      <c r="N228" s="178">
        <f ca="1">IF(L228&gt;0,M228*100/L228,0)</f>
        <v>8.1988623523938227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902740</v>
      </c>
      <c r="M230" s="52">
        <f t="shared" si="51"/>
        <v>74014.41</v>
      </c>
      <c r="N230" s="52">
        <f t="shared" ca="1" si="50"/>
        <v>8.1988623523938227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IFERROR(__xludf.DUMMYFUNCTION("IMPORTRANGE(""https://docs.google.com/spreadsheets/d/1C3CXT74ZlgGe6_JY_1olB1XN4rF0dxEuIIF-xsYjHgg/edit?usp=sharing"",""พรบ!BX78"")"),583200)</f>
        <v>583200</v>
      </c>
      <c r="M231" s="53">
        <v>42354.41</v>
      </c>
      <c r="N231" s="52">
        <f t="shared" ca="1" si="50"/>
        <v>7.2624159807956108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IFERROR(__xludf.DUMMYFUNCTION("IMPORTRANGE(""https://docs.google.com/spreadsheets/d/1C3CXT74ZlgGe6_JY_1olB1XN4rF0dxEuIIF-xsYjHgg/edit?usp=sharing"",""พรบ!BY78"")"),319540)</f>
        <v>319540</v>
      </c>
      <c r="M232" s="53">
        <v>31660</v>
      </c>
      <c r="N232" s="52">
        <f t="shared" ca="1" si="50"/>
        <v>9.907992739563122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IFERROR(__xludf.DUMMYFUNCTION("IMPORTRANGE(""https://docs.google.com/spreadsheets/d/1AGHcLOeeYFL3K4b9R1dSzyJy00PE_ra89DNTVfnxSWM/edit?usp=sharing"",""รวมที่ทำกิน!J67"")"),5)</f>
        <v>5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IFERROR(__xludf.DUMMYFUNCTION("IMPORTRANGE(""https://docs.google.com/spreadsheets/d/1C3CXT74ZlgGe6_JY_1olB1XN4rF0dxEuIIF-xsYjHgg/edit?usp=sharing"",""พรบ!BZ78"")"),800)</f>
        <v>800</v>
      </c>
      <c r="J235" s="66">
        <f ca="1">IFERROR(__xludf.DUMMYFUNCTION("IMPORTRANGE(""https://docs.google.com/spreadsheets/d/1AGHcLOeeYFL3K4b9R1dSzyJy00PE_ra89DNTVfnxSWM/edit?usp=sharing"",""รวมที่ทำกิน!L67"")"),99.44)</f>
        <v>99.44</v>
      </c>
      <c r="K235" s="200">
        <f t="shared" ca="1" si="52"/>
        <v>12.43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IFERROR(__xludf.DUMMYFUNCTION("IMPORTRANGE(""https://docs.google.com/spreadsheets/d/1C3CXT74ZlgGe6_JY_1olB1XN4rF0dxEuIIF-xsYjHgg/edit?usp=sharing"",""พรบ!CA78"")"),120)</f>
        <v>120</v>
      </c>
      <c r="J236" s="66">
        <f ca="1">IFERROR(__xludf.DUMMYFUNCTION("IMPORTRANGE(""https://docs.google.com/spreadsheets/d/1AGHcLOeeYFL3K4b9R1dSzyJy00PE_ra89DNTVfnxSWM/edit?usp=sharing"",""รวมที่ทำกิน!O67"")"),17)</f>
        <v>17</v>
      </c>
      <c r="K236" s="200">
        <f t="shared" ca="1" si="52"/>
        <v>14.166666666666666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IFERROR(__xludf.DUMMYFUNCTION("IMPORTRANGE(""https://docs.google.com/spreadsheets/d/1AGHcLOeeYFL3K4b9R1dSzyJy00PE_ra89DNTVfnxSWM/edit?usp=sharing"",""รวมที่ทำกิน!Q67"")"),272.59)</f>
        <v>272.58999999999997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IFERROR(__xludf.DUMMYFUNCTION("IMPORTRANGE(""https://docs.google.com/spreadsheets/d/1C3CXT74ZlgGe6_JY_1olB1XN4rF0dxEuIIF-xsYjHgg/edit?usp=sharing"",""พรบ!CB78"")"),120)</f>
        <v>120</v>
      </c>
      <c r="J238" s="66">
        <f ca="1">IFERROR(__xludf.DUMMYFUNCTION("IMPORTRANGE(""https://docs.google.com/spreadsheets/d/1AGHcLOeeYFL3K4b9R1dSzyJy00PE_ra89DNTVfnxSWM/edit?usp=sharing"",""รวมที่ทำกิน!S67"")"),0)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IFERROR(__xludf.DUMMYFUNCTION("IMPORTRANGE(""https://docs.google.com/spreadsheets/d/1AGHcLOeeYFL3K4b9R1dSzyJy00PE_ra89DNTVfnxSWM/edit?usp=sharing"",""รวมที่ทำกิน!U67"")"),0)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IFERROR(__xludf.DUMMYFUNCTION("IMPORTRANGE(""https://docs.google.com/spreadsheets/d/1C3CXT74ZlgGe6_JY_1olB1XN4rF0dxEuIIF-xsYjHgg/edit?usp=sharing"",""พรบ!CC78"")"),120)</f>
        <v>120</v>
      </c>
      <c r="J240" s="66">
        <f ca="1">IFERROR(__xludf.DUMMYFUNCTION("IMPORTRANGE(""https://docs.google.com/spreadsheets/d/1AGHcLOeeYFL3K4b9R1dSzyJy00PE_ra89DNTVfnxSWM/edit?usp=sharing"",""รวมที่ทำกิน!W67"")"),17)</f>
        <v>17</v>
      </c>
      <c r="K240" s="200">
        <f t="shared" ca="1" si="52"/>
        <v>14.166666666666666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IFERROR(__xludf.DUMMYFUNCTION("IMPORTRANGE(""https://docs.google.com/spreadsheets/d/1AGHcLOeeYFL3K4b9R1dSzyJy00PE_ra89DNTVfnxSWM/edit?usp=sharing"",""รวมที่ทำกิน!Y67"")"),272.59)</f>
        <v>272.58999999999997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2607395</v>
      </c>
      <c r="M242" s="213">
        <f t="shared" si="53"/>
        <v>77003.14</v>
      </c>
      <c r="N242" s="213">
        <f ca="1">+IF(L242&gt;0,M242*100/L242,0)</f>
        <v>2.9532594792887155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63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295840</v>
      </c>
      <c r="M244" s="228">
        <f t="shared" si="56"/>
        <v>2000</v>
      </c>
      <c r="N244" s="228">
        <f ca="1">+IF(L244&gt;0,M244*100/L244,0)</f>
        <v>0.67604110329908063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42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295840</v>
      </c>
      <c r="M247" s="49">
        <f t="shared" si="58"/>
        <v>2000</v>
      </c>
      <c r="N247" s="49">
        <f t="shared" ca="1" si="57"/>
        <v>0.67604110329908063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IFERROR(__xludf.DUMMYFUNCTION("IMPORTRANGE(""https://docs.google.com/spreadsheets/d/1C3CXT74ZlgGe6_JY_1olB1XN4rF0dxEuIIF-xsYjHgg/edit?usp=sharing"",""งบกองทุน!d78"")"),0)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IFERROR(__xludf.DUMMYFUNCTION("IMPORTRANGE(""https://docs.google.com/spreadsheets/d/1C3CXT74ZlgGe6_JY_1olB1XN4rF0dxEuIIF-xsYjHgg/edit?usp=sharing"",""งบกองทุน!e78"")"),295840)</f>
        <v>295840</v>
      </c>
      <c r="M249" s="52">
        <f>SUM(M250:M253)</f>
        <v>2000</v>
      </c>
      <c r="N249" s="52">
        <f t="shared" ca="1" si="57"/>
        <v>0.67604110329908063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3">
        <v>2000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1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1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1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IFERROR(__xludf.DUMMYFUNCTION("IMPORTRANGE(""https://docs.google.com/spreadsheets/d/1C3CXT74ZlgGe6_JY_1olB1XN4rF0dxEuIIF-xsYjHgg/edit?usp=sharing"",""งบกองทุน!f78"")"),0)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63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IFERROR(__xludf.DUMMYFUNCTION("IMPORTRANGE(""https://docs.google.com/spreadsheets/d/1C3CXT74ZlgGe6_JY_1olB1XN4rF0dxEuIIF-xsYjHgg/edit?usp=sharing"",""งบกองทุน!H78"")"),42)</f>
        <v>42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IFERROR(__xludf.DUMMYFUNCTION("IMPORTRANGE(""https://docs.google.com/spreadsheets/d/1C3CXT74ZlgGe6_JY_1olB1XN4rF0dxEuIIF-xsYjHgg/edit?usp=sharing"",""งบกองทุน!i78"")"),43)</f>
        <v>43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42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IFERROR(__xludf.DUMMYFUNCTION("IMPORTRANGE(""https://docs.google.com/spreadsheets/d/1C3CXT74ZlgGe6_JY_1olB1XN4rF0dxEuIIF-xsYjHgg/edit?usp=sharing"",""งบกองทุน!k78"")"),20)</f>
        <v>20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42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IFERROR(__xludf.DUMMYFUNCTION("IMPORTRANGE(""https://docs.google.com/spreadsheets/d/1C3CXT74ZlgGe6_JY_1olB1XN4rF0dxEuIIF-xsYjHgg/edit?usp=sharing"",""งบกองทุน!m78"")"),0)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63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IFERROR(__xludf.DUMMYFUNCTION("IMPORTRANGE(""https://docs.google.com/spreadsheets/d/1C3CXT74ZlgGe6_JY_1olB1XN4rF0dxEuIIF-xsYjHgg/edit?usp=sharing"",""งบกองทุน!o78"")"),20)</f>
        <v>20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IFERROR(__xludf.DUMMYFUNCTION("IMPORTRANGE(""https://docs.google.com/spreadsheets/d/1C3CXT74ZlgGe6_JY_1olB1XN4rF0dxEuIIF-xsYjHgg/edit?usp=sharing"",""งบกองทุน!p78"")"),43)</f>
        <v>43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1000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1028520</v>
      </c>
      <c r="M275" s="228">
        <f t="shared" si="64"/>
        <v>11741.95</v>
      </c>
      <c r="N275" s="228">
        <f ca="1">+IF(L275&gt;0,M275*100/L275,0)</f>
        <v>1.1416355539999221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100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1028520</v>
      </c>
      <c r="M278" s="49">
        <f t="shared" si="66"/>
        <v>11741.95</v>
      </c>
      <c r="N278" s="49">
        <f t="shared" ca="1" si="65"/>
        <v>1.1416355539999221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IFERROR(__xludf.DUMMYFUNCTION("IMPORTRANGE(""https://docs.google.com/spreadsheets/d/1C3CXT74ZlgGe6_JY_1olB1XN4rF0dxEuIIF-xsYjHgg/edit?usp=sharing"",""งบกองทุน!r78"")"),0)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IFERROR(__xludf.DUMMYFUNCTION("IMPORTRANGE(""https://docs.google.com/spreadsheets/d/1C3CXT74ZlgGe6_JY_1olB1XN4rF0dxEuIIF-xsYjHgg/edit?usp=sharing"",""งบกองทุน!s78"")"),1028520)</f>
        <v>1028520</v>
      </c>
      <c r="M280" s="52">
        <f>SUM(M281:M284)</f>
        <v>11741.95</v>
      </c>
      <c r="N280" s="52">
        <f t="shared" ca="1" si="65"/>
        <v>1.1416355539999221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11741.95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1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1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IFERROR(__xludf.DUMMYFUNCTION("IMPORTRANGE(""https://docs.google.com/spreadsheets/d/1C3CXT74ZlgGe6_JY_1olB1XN4rF0dxEuIIF-xsYjHgg/edit?usp=sharing"",""งบกองทุน!v78"")"),100)</f>
        <v>100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IFERROR(__xludf.DUMMYFUNCTION("IMPORTRANGE(""https://docs.google.com/spreadsheets/d/1C3CXT74ZlgGe6_JY_1olB1XN4rF0dxEuIIF-xsYjHgg/edit?usp=sharing"",""งบกองทุน!w78"")"),1000)</f>
        <v>1000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IFERROR(__xludf.DUMMYFUNCTION("IMPORTRANGE(""https://docs.google.com/spreadsheets/d/1C3CXT74ZlgGe6_JY_1olB1XN4rF0dxEuIIF-xsYjHgg/edit?usp=sharing"",""งบกองทุน!x78"")"),100)</f>
        <v>100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180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186540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60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186540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IFERROR(__xludf.DUMMYFUNCTION("IMPORTRANGE(""https://docs.google.com/spreadsheets/d/1C3CXT74ZlgGe6_JY_1olB1XN4rF0dxEuIIF-xsYjHgg/edit?usp=sharing"",""งบกองทุน!z78"")"),0)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IFERROR(__xludf.DUMMYFUNCTION("IMPORTRANGE(""https://docs.google.com/spreadsheets/d/1C3CXT74ZlgGe6_JY_1olB1XN4rF0dxEuIIF-xsYjHgg/edit?usp=sharing"",""งบกองทุน!aa78"")"),186540)</f>
        <v>186540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1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60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IFERROR(__xludf.DUMMYFUNCTION("IMPORTRANGE(""https://docs.google.com/spreadsheets/d/1C3CXT74ZlgGe6_JY_1olB1XN4rF0dxEuIIF-xsYjHgg/edit?usp=sharing"",""งบกองทุน!ae78"")"),0)</f>
        <v>0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IFERROR(__xludf.DUMMYFUNCTION("IMPORTRANGE(""https://docs.google.com/spreadsheets/d/1C3CXT74ZlgGe6_JY_1olB1XN4rF0dxEuIIF-xsYjHgg/edit?usp=sharing"",""งบกองทุน!ad78"")"),0)</f>
        <v>0</v>
      </c>
      <c r="J313" s="78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IFERROR(__xludf.DUMMYFUNCTION("IMPORTRANGE(""https://docs.google.com/spreadsheets/d/1C3CXT74ZlgGe6_JY_1olB1XN4rF0dxEuIIF-xsYjHgg/edit?usp=sharing"",""งบกองทุน!af78"")"),0)</f>
        <v>0</v>
      </c>
      <c r="J314" s="66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IFERROR(__xludf.DUMMYFUNCTION("IMPORTRANGE(""https://docs.google.com/spreadsheets/d/1C3CXT74ZlgGe6_JY_1olB1XN4rF0dxEuIIF-xsYjHgg/edit?usp=sharing"",""งบกองทุน!ag78"")"),0)</f>
        <v>0</v>
      </c>
      <c r="J315" s="111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IFERROR(__xludf.DUMMYFUNCTION("IMPORTRANGE(""https://docs.google.com/spreadsheets/d/1C3CXT74ZlgGe6_JY_1olB1XN4rF0dxEuIIF-xsYjHgg/edit?usp=sharing"",""งบกองทุน!ai78"")"),50)</f>
        <v>50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IFERROR(__xludf.DUMMYFUNCTION("IMPORTRANGE(""https://docs.google.com/spreadsheets/d/1C3CXT74ZlgGe6_JY_1olB1XN4rF0dxEuIIF-xsYjHgg/edit?usp=sharing"",""งบกองทุน!ah78"")"),150)</f>
        <v>150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IFERROR(__xludf.DUMMYFUNCTION("IMPORTRANGE(""https://docs.google.com/spreadsheets/d/1C3CXT74ZlgGe6_JY_1olB1XN4rF0dxEuIIF-xsYjHgg/edit?usp=sharing"",""งบกองทุน!aj78"")"),50)</f>
        <v>50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IFERROR(__xludf.DUMMYFUNCTION("IMPORTRANGE(""https://docs.google.com/spreadsheets/d/1C3CXT74ZlgGe6_JY_1olB1XN4rF0dxEuIIF-xsYjHgg/edit?usp=sharing"",""งบกองทุน!ak78"")"),50)</f>
        <v>50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IFERROR(__xludf.DUMMYFUNCTION("IMPORTRANGE(""https://docs.google.com/spreadsheets/d/1C3CXT74ZlgGe6_JY_1olB1XN4rF0dxEuIIF-xsYjHgg/edit?usp=sharing"",""งบกองทุน!al78"")"),50)</f>
        <v>50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IFERROR(__xludf.DUMMYFUNCTION("IMPORTRANGE(""https://docs.google.com/spreadsheets/d/1C3CXT74ZlgGe6_JY_1olB1XN4rF0dxEuIIF-xsYjHgg/edit?usp=sharing"",""งบกองทุน!an78"")"),10)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IFERROR(__xludf.DUMMYFUNCTION("IMPORTRANGE(""https://docs.google.com/spreadsheets/d/1C3CXT74ZlgGe6_JY_1olB1XN4rF0dxEuIIF-xsYjHgg/edit?usp=sharing"",""งบกองทุน!am78"")"),30)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IFERROR(__xludf.DUMMYFUNCTION("IMPORTRANGE(""https://docs.google.com/spreadsheets/d/1C3CXT74ZlgGe6_JY_1olB1XN4rF0dxEuIIF-xsYjHgg/edit?usp=sharing"",""งบกองทุน!ao78"")"),10)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IFERROR(__xludf.DUMMYFUNCTION("IMPORTRANGE(""https://docs.google.com/spreadsheets/d/1C3CXT74ZlgGe6_JY_1olB1XN4rF0dxEuIIF-xsYjHgg/edit?usp=sharing"",""งบกองทุน!ap78"")"),10)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50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IFERROR(__xludf.DUMMYFUNCTION("IMPORTRANGE(""https://docs.google.com/spreadsheets/d/1C3CXT74ZlgGe6_JY_1olB1XN4rF0dxEuIIF-xsYjHgg/edit?usp=sharing"",""งบกองทุน!ar78"")"),0)</f>
        <v>0</v>
      </c>
      <c r="J326" s="66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IFERROR(__xludf.DUMMYFUNCTION("IMPORTRANGE(""https://docs.google.com/spreadsheets/d/1C3CXT74ZlgGe6_JY_1olB1XN4rF0dxEuIIF-xsYjHgg/edit?usp=sharing"",""งบกองทุน!as78"")"),50)</f>
        <v>50</v>
      </c>
      <c r="J327" s="66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45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143500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143500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IFERROR(__xludf.DUMMYFUNCTION("IMPORTRANGE(""https://docs.google.com/spreadsheets/d/1C3CXT74ZlgGe6_JY_1olB1XN4rF0dxEuIIF-xsYjHgg/edit?usp=sharing"",""งบกองทุน!au78"")"),0)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IFERROR(__xludf.DUMMYFUNCTION("IMPORTRANGE(""https://docs.google.com/spreadsheets/d/1C3CXT74ZlgGe6_JY_1olB1XN4rF0dxEuIIF-xsYjHgg/edit?usp=sharing"",""งบกองทุน!av78"")"),143500)</f>
        <v>143500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1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45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IFERROR(__xludf.DUMMYFUNCTION("IMPORTRANGE(""https://docs.google.com/spreadsheets/d/1C3CXT74ZlgGe6_JY_1olB1XN4rF0dxEuIIF-xsYjHgg/edit?usp=sharing"",""งบกองทุน!ay78"")"),15)</f>
        <v>15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IFERROR(__xludf.DUMMYFUNCTION("IMPORTRANGE(""https://docs.google.com/spreadsheets/d/1C3CXT74ZlgGe6_JY_1olB1XN4rF0dxEuIIF-xsYjHgg/edit?usp=sharing"",""งบกองทุน!az78"")"),30)</f>
        <v>30</v>
      </c>
      <c r="J346" s="67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IFERROR(__xludf.DUMMYFUNCTION("IMPORTRANGE(""https://docs.google.com/spreadsheets/d/1C3CXT74ZlgGe6_JY_1olB1XN4rF0dxEuIIF-xsYjHgg/edit?usp=sharing"",""งบกองทุน!Ba78"")"),0)</f>
        <v>0</v>
      </c>
      <c r="J347" s="67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35175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473295</v>
      </c>
      <c r="M350" s="228">
        <f t="shared" si="79"/>
        <v>10838.73</v>
      </c>
      <c r="N350" s="228">
        <f t="shared" ref="N350:N354" ca="1" si="80">+IF(L350&gt;0,M350*100/L350,0)</f>
        <v>2.2900579976547397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473295</v>
      </c>
      <c r="M352" s="52">
        <f t="shared" si="81"/>
        <v>10838.73</v>
      </c>
      <c r="N352" s="52">
        <f t="shared" ca="1" si="80"/>
        <v>2.2900579976547397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IFERROR(__xludf.DUMMYFUNCTION("IMPORTRANGE(""https://docs.google.com/spreadsheets/d/1C3CXT74ZlgGe6_JY_1olB1XN4rF0dxEuIIF-xsYjHgg/edit?usp=sharing"",""งบกองทุน!Bc78"")"),0)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IFERROR(__xludf.DUMMYFUNCTION("IMPORTRANGE(""https://docs.google.com/spreadsheets/d/1C3CXT74ZlgGe6_JY_1olB1XN4rF0dxEuIIF-xsYjHgg/edit?usp=sharing"",""งบกองทุน!Bd78"")"),473295)</f>
        <v>473295</v>
      </c>
      <c r="M354" s="52">
        <f>SUM(M355:M358)</f>
        <v>10838.73</v>
      </c>
      <c r="N354" s="52">
        <f t="shared" ca="1" si="80"/>
        <v>2.2900579976547397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v>10838.73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IFERROR(__xludf.DUMMYFUNCTION("IMPORTRANGE(""https://docs.google.com/spreadsheets/d/1C3CXT74ZlgGe6_JY_1olB1XN4rF0dxEuIIF-xsYjHgg/edit?usp=sharing"",""งบกองทุน!BE78"")"),35175)</f>
        <v>35175</v>
      </c>
      <c r="J359" s="136">
        <f>+J376</f>
        <v>0</v>
      </c>
      <c r="K359" s="137">
        <f t="shared" ref="K359:K425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IFERROR(__xludf.DUMMYFUNCTION("IMPORTRANGE(""https://docs.google.com/spreadsheets/d/1C3CXT74ZlgGe6_JY_1olB1XN4rF0dxEuIIF-xsYjHgg/edit?usp=sharing"",""งบกองทุน!BE78"")"),35175)</f>
        <v>35175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IFERROR(__xludf.DUMMYFUNCTION("IMPORTRANGE(""https://docs.google.com/spreadsheets/d/1C3CXT74ZlgGe6_JY_1olB1XN4rF0dxEuIIF-xsYjHgg/edit?usp=sharing"",""งบกองทุน!Bf78"")"),5113)</f>
        <v>5113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35175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265">
        <f ca="1">I361</f>
        <v>5113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35175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265">
        <f ca="1">I361</f>
        <v>5113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IFERROR(__xludf.DUMMYFUNCTION("IMPORTRANGE(""https://docs.google.com/spreadsheets/d/1C3CXT74ZlgGe6_JY_1olB1XN4rF0dxEuIIF-xsYjHgg/edit?usp=sharing"",""งบกองทุน!cd78"")"),4259)</f>
        <v>4259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IFERROR(__xludf.DUMMYFUNCTION("IMPORTRANGE(""https://docs.google.com/spreadsheets/d/1C3CXT74ZlgGe6_JY_1olB1XN4rF0dxEuIIF-xsYjHgg/edit?usp=sharing"",""งบกองทุน!cd78"")"),4259)</f>
        <v>4259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IFERROR(__xludf.DUMMYFUNCTION("IMPORTRANGE(""https://docs.google.com/spreadsheets/d/1C3CXT74ZlgGe6_JY_1olB1XN4rF0dxEuIIF-xsYjHgg/edit?usp=sharing"",""งบกองทุน!cc78"")"),318)</f>
        <v>318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IFERROR(__xludf.DUMMYFUNCTION("IMPORTRANGE(""https://docs.google.com/spreadsheets/d/1C3CXT74ZlgGe6_JY_1olB1XN4rF0dxEuIIF-xsYjHgg/edit?usp=sharing"",""งบกองทุน!cz78"")"),0)</f>
        <v>0</v>
      </c>
      <c r="J409" s="136">
        <v>0</v>
      </c>
      <c r="K409" s="137">
        <f t="shared" ca="1" si="82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IFERROR(__xludf.DUMMYFUNCTION("IMPORTRANGE(""https://docs.google.com/spreadsheets/d/1C3CXT74ZlgGe6_JY_1olB1XN4rF0dxEuIIF-xsYjHgg/edit?usp=sharing"",""งบกองทุน!cz78"")"),0)</f>
        <v>0</v>
      </c>
      <c r="J410" s="149">
        <v>0</v>
      </c>
      <c r="K410" s="146">
        <f t="shared" ca="1" si="82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IFERROR(__xludf.DUMMYFUNCTION("IMPORTRANGE(""https://docs.google.com/spreadsheets/d/1C3CXT74ZlgGe6_JY_1olB1XN4rF0dxEuIIF-xsYjHgg/edit?usp=sharing"",""งบกองทุน!cy78"")"),0)</f>
        <v>0</v>
      </c>
      <c r="J411" s="149">
        <v>0</v>
      </c>
      <c r="K411" s="146">
        <f t="shared" ca="1" si="82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IFERROR(__xludf.DUMMYFUNCTION("IMPORTRANGE(""https://docs.google.com/spreadsheets/d/1C3CXT74ZlgGe6_JY_1olB1XN4rF0dxEuIIF-xsYjHgg/edit?usp=sharing"",""งบกองทุน!db78"")"),0)</f>
        <v>0</v>
      </c>
      <c r="K412" s="48">
        <f t="shared" si="82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IFERROR(__xludf.DUMMYFUNCTION("IMPORTRANGE(""https://docs.google.com/spreadsheets/d/1C3CXT74ZlgGe6_JY_1olB1XN4rF0dxEuIIF-xsYjHgg/edit?usp=sharing"",""งบกองทุน!da78"")"),0)</f>
        <v>0</v>
      </c>
      <c r="K413" s="48">
        <f t="shared" si="82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IFERROR(__xludf.DUMMYFUNCTION("IMPORTRANGE(""https://docs.google.com/spreadsheets/d/1C3CXT74ZlgGe6_JY_1olB1XN4rF0dxEuIIF-xsYjHgg/edit?usp=sharing"",""งบกองทุน!dd78"")"),0)</f>
        <v>0</v>
      </c>
      <c r="K414" s="48">
        <f t="shared" si="82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IFERROR(__xludf.DUMMYFUNCTION("IMPORTRANGE(""https://docs.google.com/spreadsheets/d/1C3CXT74ZlgGe6_JY_1olB1XN4rF0dxEuIIF-xsYjHgg/edit?usp=sharing"",""งบกองทุน!dc78"")"),0)</f>
        <v>0</v>
      </c>
      <c r="K415" s="48">
        <f t="shared" si="82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IFERROR(__xludf.DUMMYFUNCTION("IMPORTRANGE(""https://docs.google.com/spreadsheets/d/1C3CXT74ZlgGe6_JY_1olB1XN4rF0dxEuIIF-xsYjHgg/edit?usp=sharing"",""งบกองทุน!df78"")"),0)</f>
        <v>0</v>
      </c>
      <c r="K416" s="48">
        <f t="shared" si="82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IFERROR(__xludf.DUMMYFUNCTION("IMPORTRANGE(""https://docs.google.com/spreadsheets/d/1C3CXT74ZlgGe6_JY_1olB1XN4rF0dxEuIIF-xsYjHgg/edit?usp=sharing"",""งบกองทุน!de78"")"),0)</f>
        <v>0</v>
      </c>
      <c r="K417" s="48">
        <f t="shared" si="82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f t="shared" ca="1" si="82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f t="shared" ca="1" si="82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f t="shared" si="82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f t="shared" si="82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f t="shared" si="82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f t="shared" si="82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f t="shared" si="82"/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4">
        <v>0</v>
      </c>
      <c r="J425" s="300">
        <v>0</v>
      </c>
      <c r="K425" s="301">
        <f t="shared" si="82"/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22</v>
      </c>
      <c r="J426" s="257">
        <f t="shared" si="91"/>
        <v>22</v>
      </c>
      <c r="K426" s="258">
        <f ca="1">IF(I426&gt;0,J426*100/I426,0)</f>
        <v>100</v>
      </c>
      <c r="L426" s="259">
        <f t="shared" ref="L426:M426" ca="1" si="92">SUM(L427:L428)</f>
        <v>34340</v>
      </c>
      <c r="M426" s="259">
        <f t="shared" si="92"/>
        <v>29945</v>
      </c>
      <c r="N426" s="259">
        <f t="shared" ref="N426:N430" ca="1" si="93">+IF(L426&gt;0,M426*100/L426,0)</f>
        <v>87.201514269073968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34340</v>
      </c>
      <c r="M428" s="52">
        <f t="shared" si="94"/>
        <v>29945</v>
      </c>
      <c r="N428" s="52">
        <f t="shared" ca="1" si="93"/>
        <v>87.201514269073968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IFERROR(__xludf.DUMMYFUNCTION("IMPORTRANGE(""https://docs.google.com/spreadsheets/d/1C3CXT74ZlgGe6_JY_1olB1XN4rF0dxEuIIF-xsYjHgg/edit?usp=sharing"",""งบกองทุน!dn78"")"),0)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IFERROR(__xludf.DUMMYFUNCTION("IMPORTRANGE(""https://docs.google.com/spreadsheets/d/1C3CXT74ZlgGe6_JY_1olB1XN4rF0dxEuIIF-xsYjHgg/edit?usp=sharing"",""งบกองทุน!do78"")"),34340)</f>
        <v>34340</v>
      </c>
      <c r="M430" s="52">
        <f>SUM(M431:M434)</f>
        <v>29945</v>
      </c>
      <c r="N430" s="52">
        <f t="shared" ca="1" si="93"/>
        <v>87.201514269073968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27945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2000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IFERROR(__xludf.DUMMYFUNCTION("IMPORTRANGE(""https://docs.google.com/spreadsheets/d/1C3CXT74ZlgGe6_JY_1olB1XN4rF0dxEuIIF-xsYjHgg/edit?usp=sharing"",""งบกองทุน!dq78"")"),22)</f>
        <v>22</v>
      </c>
      <c r="J440" s="67">
        <v>22</v>
      </c>
      <c r="K440" s="48">
        <f t="shared" ref="K440:K441" ca="1" si="95">IF(I440&gt;0,J440*100/I440,0)</f>
        <v>100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IFERROR(__xludf.DUMMYFUNCTION("IMPORTRANGE(""https://docs.google.com/spreadsheets/d/1C3CXT74ZlgGe6_JY_1olB1XN4rF0dxEuIIF-xsYjHgg/edit?usp=sharing"",""งบกองทุน!dr78"")"),22)</f>
        <v>22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IFERROR(__xludf.DUMMYFUNCTION("IMPORTRANGE(""https://docs.google.com/spreadsheets/d/1C3CXT74ZlgGe6_JY_1olB1XN4rF0dxEuIIF-xsYjHgg/edit?usp=sharing"",""งบกองทุน!dt78"")"),0)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IFERROR(__xludf.DUMMYFUNCTION("IMPORTRANGE(""https://docs.google.com/spreadsheets/d/1C3CXT74ZlgGe6_JY_1olB1XN4rF0dxEuIIF-xsYjHgg/edit?usp=sharing"",""งบกองทุน!du78"")"),0)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IFERROR(__xludf.DUMMYFUNCTION("IMPORTRANGE(""https://docs.google.com/spreadsheets/d/1C3CXT74ZlgGe6_JY_1olB1XN4rF0dxEuIIF-xsYjHgg/edit?usp=sharing"",""งบกองทุน!dw78"")"),0)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IFERROR(__xludf.DUMMYFUNCTION("IMPORTRANGE(""https://docs.google.com/spreadsheets/d/1C3CXT74ZlgGe6_JY_1olB1XN4rF0dxEuIIF-xsYjHgg/edit?usp=sharing"",""งบกองทุน!dx78"")"),0)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IFERROR(__xludf.DUMMYFUNCTION("IMPORTRANGE(""https://docs.google.com/spreadsheets/d/1C3CXT74ZlgGe6_JY_1olB1XN4rF0dxEuIIF-xsYjHgg/edit?usp=sharing"",""งบกองทุน!dy78"")"),0)</f>
        <v>0</v>
      </c>
      <c r="J455" s="66">
        <v>0</v>
      </c>
      <c r="K455" s="48">
        <f t="shared" ca="1" si="100"/>
        <v>0</v>
      </c>
      <c r="L455" s="60"/>
      <c r="M455" s="60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IFERROR(__xludf.DUMMYFUNCTION("IMPORTRANGE(""https://docs.google.com/spreadsheets/d/1C3CXT74ZlgGe6_JY_1olB1XN4rF0dxEuIIF-xsYjHgg/edit?usp=sharing"",""งบกองทุน!dz78"")"),0)</f>
        <v>0</v>
      </c>
      <c r="J456" s="66">
        <v>0</v>
      </c>
      <c r="K456" s="48">
        <f t="shared" ca="1" si="100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900</v>
      </c>
      <c r="J457" s="226">
        <f>+J466</f>
        <v>401</v>
      </c>
      <c r="K457" s="227">
        <f t="shared" ca="1" si="100"/>
        <v>44.555555555555557</v>
      </c>
      <c r="L457" s="228">
        <f t="shared" ref="L457:M457" ca="1" si="101">SUM(L458:L459)</f>
        <v>128080</v>
      </c>
      <c r="M457" s="228">
        <f t="shared" si="101"/>
        <v>10838.73</v>
      </c>
      <c r="N457" s="228">
        <f t="shared" ref="N457:N461" ca="1" si="102">+IF(L457&gt;0,M457*100/L457,0)</f>
        <v>8.4624687695190506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128080</v>
      </c>
      <c r="M459" s="52">
        <f t="shared" si="103"/>
        <v>10838.73</v>
      </c>
      <c r="N459" s="52">
        <f t="shared" ca="1" si="102"/>
        <v>8.4624687695190506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IFERROR(__xludf.DUMMYFUNCTION("IMPORTRANGE(""https://docs.google.com/spreadsheets/d/1C3CXT74ZlgGe6_JY_1olB1XN4rF0dxEuIIF-xsYjHgg/edit?usp=sharing"",""งบกองทุน!Eb78"")"),0)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IFERROR(__xludf.DUMMYFUNCTION("IMPORTRANGE(""https://docs.google.com/spreadsheets/d/1C3CXT74ZlgGe6_JY_1olB1XN4rF0dxEuIIF-xsYjHgg/edit?usp=sharing"",""งบกองทุน!Ec78"")"),128080)</f>
        <v>128080</v>
      </c>
      <c r="M461" s="52">
        <f>SUM(M462:M465)</f>
        <v>10838.73</v>
      </c>
      <c r="N461" s="52">
        <f t="shared" ca="1" si="102"/>
        <v>8.4624687695190506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10838.73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IFERROR(__xludf.DUMMYFUNCTION("IMPORTRANGE(""https://docs.google.com/spreadsheets/d/1C3CXT74ZlgGe6_JY_1olB1XN4rF0dxEuIIF-xsYjHgg/edit?usp=sharing"",""งบกองทุน!Ed78"")"),900)</f>
        <v>900</v>
      </c>
      <c r="J466" s="265">
        <f>+J469+J470+J471+J472</f>
        <v>401</v>
      </c>
      <c r="K466" s="79">
        <f ca="1">IF(I466&gt;0,J466*100/I466,0)</f>
        <v>44.555555555555557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401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80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308380</v>
      </c>
      <c r="M473" s="228">
        <f>SUM(M474:M475)</f>
        <v>10838.73</v>
      </c>
      <c r="N473" s="228">
        <f t="shared" ref="N473:N477" ca="1" si="105">+IF(L473&gt;0,M473*100/L473,0)</f>
        <v>3.5147318243725274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308380</v>
      </c>
      <c r="M475" s="52">
        <f t="shared" si="106"/>
        <v>10838.73</v>
      </c>
      <c r="N475" s="52">
        <f t="shared" ca="1" si="105"/>
        <v>3.5147318243725274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IFERROR(__xludf.DUMMYFUNCTION("IMPORTRANGE(""https://docs.google.com/spreadsheets/d/1C3CXT74ZlgGe6_JY_1olB1XN4rF0dxEuIIF-xsYjHgg/edit?usp=sharing"",""งบกองทุน!Ek78"")"),0)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IFERROR(__xludf.DUMMYFUNCTION("IMPORTRANGE(""https://docs.google.com/spreadsheets/d/1C3CXT74ZlgGe6_JY_1olB1XN4rF0dxEuIIF-xsYjHgg/edit?usp=sharing"",""งบกองทุน!El78"")"),308380)</f>
        <v>308380</v>
      </c>
      <c r="M477" s="52">
        <f>SUM(M478:M481)</f>
        <v>10838.73</v>
      </c>
      <c r="N477" s="52">
        <f t="shared" ca="1" si="105"/>
        <v>3.5147318243725274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3">
        <v>10838.73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3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IFERROR(__xludf.DUMMYFUNCTION("IMPORTRANGE(""https://docs.google.com/spreadsheets/d/1C3CXT74ZlgGe6_JY_1olB1XN4rF0dxEuIIF-xsYjHgg/edit?usp=sharing"",""งบกองทุน!Em78"")"),80)</f>
        <v>80</v>
      </c>
      <c r="J482" s="66">
        <f ca="1">IFERROR(__xludf.DUMMYFUNCTION("IMPORTRANGE(""https://docs.google.com/spreadsheets/d/1AGHcLOeeYFL3K4b9R1dSzyJy00PE_ra89DNTVfnxSWM/edit?usp=sharing"",""รวมที่ชุมชน!G67"")"),12)</f>
        <v>12</v>
      </c>
      <c r="K482" s="48">
        <f t="shared" ref="K482:K489" ca="1" si="107">IF(I482&gt;0,J482*100/I482,0)</f>
        <v>15</v>
      </c>
      <c r="L482" s="60"/>
      <c r="M482" s="60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IFERROR(__xludf.DUMMYFUNCTION("IMPORTRANGE(""https://docs.google.com/spreadsheets/d/1C3CXT74ZlgGe6_JY_1olB1XN4rF0dxEuIIF-xsYjHgg/edit?usp=sharing"",""งบกองทุน!En78"")"),0)</f>
        <v>0</v>
      </c>
      <c r="J483" s="66">
        <f ca="1">IFERROR(__xludf.DUMMYFUNCTION("IMPORTRANGE(""https://docs.google.com/spreadsheets/d/1AGHcLOeeYFL3K4b9R1dSzyJy00PE_ra89DNTVfnxSWM/edit?usp=sharing"",""รวมที่ชุมชน!H67"")"),8.78)</f>
        <v>8.7799999999999994</v>
      </c>
      <c r="K483" s="200">
        <f t="shared" ca="1" si="107"/>
        <v>0</v>
      </c>
      <c r="L483" s="60"/>
      <c r="M483" s="60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IFERROR(__xludf.DUMMYFUNCTION("IMPORTRANGE(""https://docs.google.com/spreadsheets/d/1C3CXT74ZlgGe6_JY_1olB1XN4rF0dxEuIIF-xsYjHgg/edit?usp=sharing"",""งบกองทุน!Eo78"")"),80)</f>
        <v>80</v>
      </c>
      <c r="J484" s="66">
        <f ca="1">IFERROR(__xludf.DUMMYFUNCTION("IMPORTRANGE(""https://docs.google.com/spreadsheets/d/1AGHcLOeeYFL3K4b9R1dSzyJy00PE_ra89DNTVfnxSWM/edit?usp=sharing"",""รวมที่ชุมชน!J67"")"),0)</f>
        <v>0</v>
      </c>
      <c r="K484" s="48">
        <f t="shared" ca="1" si="107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IFERROR(__xludf.DUMMYFUNCTION("IMPORTRANGE(""https://docs.google.com/spreadsheets/d/1C3CXT74ZlgGe6_JY_1olB1XN4rF0dxEuIIF-xsYjHgg/edit?usp=sharing"",""งบกองทุน!Ep78"")"),0)</f>
        <v>0</v>
      </c>
      <c r="J485" s="66">
        <f ca="1">IFERROR(__xludf.DUMMYFUNCTION("IMPORTRANGE(""https://docs.google.com/spreadsheets/d/1AGHcLOeeYFL3K4b9R1dSzyJy00PE_ra89DNTVfnxSWM/edit?usp=sharing"",""รวมที่ชุมชน!L67"")"),0)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IFERROR(__xludf.DUMMYFUNCTION("IMPORTRANGE(""https://docs.google.com/spreadsheets/d/1C3CXT74ZlgGe6_JY_1olB1XN4rF0dxEuIIF-xsYjHgg/edit?usp=sharing"",""งบกองทุน!Eq78"")"),80)</f>
        <v>80</v>
      </c>
      <c r="J486" s="66">
        <f ca="1">IFERROR(__xludf.DUMMYFUNCTION("IMPORTRANGE(""https://docs.google.com/spreadsheets/d/1AGHcLOeeYFL3K4b9R1dSzyJy00PE_ra89DNTVfnxSWM/edit?usp=sharing"",""รวมที่ชุมชน!S67"")"),0)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IFERROR(__xludf.DUMMYFUNCTION("IMPORTRANGE(""https://docs.google.com/spreadsheets/d/1C3CXT74ZlgGe6_JY_1olB1XN4rF0dxEuIIF-xsYjHgg/edit?usp=sharing"",""งบกองทุน!Er78"")"),0)</f>
        <v>0</v>
      </c>
      <c r="J487" s="66">
        <f ca="1">IFERROR(__xludf.DUMMYFUNCTION("IMPORTRANGE(""https://docs.google.com/spreadsheets/d/1AGHcLOeeYFL3K4b9R1dSzyJy00PE_ra89DNTVfnxSWM/edit?usp=sharing"",""รวมที่ชุมชน!U67"")"),0)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IFERROR(__xludf.DUMMYFUNCTION("IMPORTRANGE(""https://docs.google.com/spreadsheets/d/1C3CXT74ZlgGe6_JY_1olB1XN4rF0dxEuIIF-xsYjHgg/edit?usp=sharing"",""งบกองทุน!Es78"")"),80)</f>
        <v>80</v>
      </c>
      <c r="J488" s="66">
        <f ca="1">IFERROR(__xludf.DUMMYFUNCTION("IMPORTRANGE(""https://docs.google.com/spreadsheets/d/1AGHcLOeeYFL3K4b9R1dSzyJy00PE_ra89DNTVfnxSWM/edit?usp=sharing"",""รวมที่ชุมชน!V67"")"),0)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IFERROR(__xludf.DUMMYFUNCTION("IMPORTRANGE(""https://docs.google.com/spreadsheets/d/1C3CXT74ZlgGe6_JY_1olB1XN4rF0dxEuIIF-xsYjHgg/edit?usp=sharing"",""งบกองทุน!Et78"")"),0)</f>
        <v>0</v>
      </c>
      <c r="J489" s="111">
        <f ca="1">IFERROR(__xludf.DUMMYFUNCTION("IMPORTRANGE(""https://docs.google.com/spreadsheets/d/1AGHcLOeeYFL3K4b9R1dSzyJy00PE_ra89DNTVfnxSWM/edit?usp=sharing"",""รวมที่ชุมชน!X67"")"),0)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100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8900</v>
      </c>
      <c r="M490" s="259">
        <f>SUM(M491:M492)</f>
        <v>800</v>
      </c>
      <c r="N490" s="259">
        <f t="shared" ref="N490:N494" ca="1" si="109">+IF(L490&gt;0,M490*100/L490,0)</f>
        <v>8.9887640449438209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8900</v>
      </c>
      <c r="M492" s="52">
        <f t="shared" si="110"/>
        <v>800</v>
      </c>
      <c r="N492" s="52">
        <f t="shared" ca="1" si="109"/>
        <v>8.9887640449438209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IFERROR(__xludf.DUMMYFUNCTION("IMPORTRANGE(""https://docs.google.com/spreadsheets/d/1C3CXT74ZlgGe6_JY_1olB1XN4rF0dxEuIIF-xsYjHgg/edit?usp=sharing"",""งบกองทุน!Ev78"")"),0)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IFERROR(__xludf.DUMMYFUNCTION("IMPORTRANGE(""https://docs.google.com/spreadsheets/d/1C3CXT74ZlgGe6_JY_1olB1XN4rF0dxEuIIF-xsYjHgg/edit?usp=sharing"",""งบกองทุน!Ew78"")"),8900)</f>
        <v>8900</v>
      </c>
      <c r="M494" s="52">
        <f>SUM(M495:M498)</f>
        <v>800</v>
      </c>
      <c r="N494" s="52">
        <f t="shared" ca="1" si="109"/>
        <v>8.9887640449438209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800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1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IFERROR(__xludf.DUMMYFUNCTION("IMPORTRANGE(""https://docs.google.com/spreadsheets/d/1C3CXT74ZlgGe6_JY_1olB1XN4rF0dxEuIIF-xsYjHgg/edit?usp=sharing"",""งบกองทุน!EZ78"")"),100)</f>
        <v>100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IFERROR(__xludf.DUMMYFUNCTION("IMPORTRANGE(""https://docs.google.com/spreadsheets/d/1C3CXT74ZlgGe6_JY_1olB1XN4rF0dxEuIIF-xsYjHgg/edit?usp=sharing"",""งบกองทุน!ff78"")"),73)</f>
        <v>73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IFERROR(__xludf.DUMMYFUNCTION("IMPORTRANGE(""https://docs.google.com/spreadsheets/d/1muirlRDkqiswvy_NRZ3Yh955hx-PF6_HhssUYiSJj8o/edit?usp=sharing"",""กองทุน!D78"")"),21787479.79)</f>
        <v>21787479.789999999</v>
      </c>
      <c r="J521" s="199">
        <f ca="1">IFERROR(__xludf.DUMMYFUNCTION("IMPORTRANGE(""https://docs.google.com/spreadsheets/d/1muirlRDkqiswvy_NRZ3Yh955hx-PF6_HhssUYiSJj8o/edit?usp=sharing"",""กองทุน!F78"")"),0)</f>
        <v>0</v>
      </c>
      <c r="K521" s="200">
        <f t="shared" ref="K521:K528" ca="1" si="116">IF(I521&gt;0,J521*100/I521,0)</f>
        <v>0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IFERROR(__xludf.DUMMYFUNCTION("IMPORTRANGE(""https://docs.google.com/spreadsheets/d/1muirlRDkqiswvy_NRZ3Yh955hx-PF6_HhssUYiSJj8o/edit?usp=sharing"",""กองทุน!C78"")"),514)</f>
        <v>514</v>
      </c>
      <c r="J522" s="199">
        <f ca="1">IFERROR(__xludf.DUMMYFUNCTION("IMPORTRANGE(""https://docs.google.com/spreadsheets/d/1muirlRDkqiswvy_NRZ3Yh955hx-PF6_HhssUYiSJj8o/edit?usp=sharing"",""กองทุน!E78"")"),0)</f>
        <v>0</v>
      </c>
      <c r="K522" s="200">
        <f t="shared" ca="1" si="116"/>
        <v>0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IFERROR(__xludf.DUMMYFUNCTION("IMPORTRANGE(""https://docs.google.com/spreadsheets/d/1muirlRDkqiswvy_NRZ3Yh955hx-PF6_HhssUYiSJj8o/edit?usp=sharing"",""กองทุน!I78"")"),3870443.59)</f>
        <v>3870443.59</v>
      </c>
      <c r="J523" s="199">
        <f ca="1">IFERROR(__xludf.DUMMYFUNCTION("IMPORTRANGE(""https://docs.google.com/spreadsheets/d/1muirlRDkqiswvy_NRZ3Yh955hx-PF6_HhssUYiSJj8o/edit?usp=sharing"",""กองทุน!K78"")"),57564.86)</f>
        <v>57564.86</v>
      </c>
      <c r="K523" s="200">
        <f t="shared" ca="1" si="116"/>
        <v>1.4872936050206069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IFERROR(__xludf.DUMMYFUNCTION("IMPORTRANGE(""https://docs.google.com/spreadsheets/d/1muirlRDkqiswvy_NRZ3Yh955hx-PF6_HhssUYiSJj8o/edit?usp=sharing"",""กองทุน!H78"")"),79)</f>
        <v>79</v>
      </c>
      <c r="J524" s="199">
        <f ca="1">IFERROR(__xludf.DUMMYFUNCTION("IMPORTRANGE(""https://docs.google.com/spreadsheets/d/1muirlRDkqiswvy_NRZ3Yh955hx-PF6_HhssUYiSJj8o/edit?usp=sharing"",""กองทุน!J78"")"),22)</f>
        <v>22</v>
      </c>
      <c r="K524" s="200">
        <f t="shared" ca="1" si="116"/>
        <v>27.848101265822784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IFERROR(__xludf.DUMMYFUNCTION("IMPORTRANGE(""https://docs.google.com/spreadsheets/d/1muirlRDkqiswvy_NRZ3Yh955hx-PF6_HhssUYiSJj8o/edit?usp=sharing"",""กองทุน!N78"")"),2331038.08)</f>
        <v>2331038.08</v>
      </c>
      <c r="J525" s="199">
        <f ca="1">IFERROR(__xludf.DUMMYFUNCTION("IMPORTRANGE(""https://docs.google.com/spreadsheets/d/1muirlRDkqiswvy_NRZ3Yh955hx-PF6_HhssUYiSJj8o/edit?usp=sharing"",""กองทุน!P78"")"),94750.48)</f>
        <v>94750.48</v>
      </c>
      <c r="K525" s="200">
        <f t="shared" ca="1" si="116"/>
        <v>4.0647332539501022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IFERROR(__xludf.DUMMYFUNCTION("IMPORTRANGE(""https://docs.google.com/spreadsheets/d/1muirlRDkqiswvy_NRZ3Yh955hx-PF6_HhssUYiSJj8o/edit?usp=sharing"",""กองทุน!M78"")"),528)</f>
        <v>528</v>
      </c>
      <c r="J526" s="199">
        <f ca="1">IFERROR(__xludf.DUMMYFUNCTION("IMPORTRANGE(""https://docs.google.com/spreadsheets/d/1muirlRDkqiswvy_NRZ3Yh955hx-PF6_HhssUYiSJj8o/edit?usp=sharing"",""กองทุน!O78"")"),34)</f>
        <v>34</v>
      </c>
      <c r="K526" s="200">
        <f t="shared" ca="1" si="116"/>
        <v>6.4393939393939394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IFERROR(__xludf.DUMMYFUNCTION("IMPORTRANGE(""https://docs.google.com/spreadsheets/d/1muirlRDkqiswvy_NRZ3Yh955hx-PF6_HhssUYiSJj8o/edit?usp=sharing"",""กองทุน!S78"")"),22940000)</f>
        <v>22940000</v>
      </c>
      <c r="J527" s="199">
        <f ca="1">IFERROR(__xludf.DUMMYFUNCTION("IMPORTRANGE(""https://docs.google.com/spreadsheets/d/1muirlRDkqiswvy_NRZ3Yh955hx-PF6_HhssUYiSJj8o/edit?usp=sharing"",""กองทุน!U78"")"),0)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IFERROR(__xludf.DUMMYFUNCTION("IMPORTRANGE(""https://docs.google.com/spreadsheets/d/1muirlRDkqiswvy_NRZ3Yh955hx-PF6_HhssUYiSJj8o/edit?usp=sharing"",""กองทุน!R78"")"),568)</f>
        <v>568</v>
      </c>
      <c r="J528" s="324">
        <f ca="1">IFERROR(__xludf.DUMMYFUNCTION("IMPORTRANGE(""https://docs.google.com/spreadsheets/d/1muirlRDkqiswvy_NRZ3Yh955hx-PF6_HhssUYiSJj8o/edit?usp=sharing"",""กองทุน!T78"")"),0)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A5" sqref="A5:G5"/>
      <selection pane="bottomLeft" activeCell="A5" sqref="A5:G5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68" t="s">
        <v>0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</row>
    <row r="2" spans="1:14" ht="18" customHeight="1" x14ac:dyDescent="0.55000000000000004">
      <c r="A2" s="368" t="s">
        <v>245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</row>
    <row r="3" spans="1:14" ht="18" customHeight="1" x14ac:dyDescent="0.55000000000000004">
      <c r="A3" s="368" t="s">
        <v>247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70" t="s">
        <v>4</v>
      </c>
      <c r="B5" s="371"/>
      <c r="C5" s="371"/>
      <c r="D5" s="371"/>
      <c r="E5" s="371"/>
      <c r="F5" s="371"/>
      <c r="G5" s="372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570310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66"/>
      <c r="K12" s="232"/>
      <c r="L12" s="52">
        <f ca="1">IFERROR(__xludf.DUMMYFUNCTION("IMPORTRANGE(""https://docs.google.com/spreadsheets/d/1C3CXT74ZlgGe6_JY_1olB1XN4rF0dxEuIIF-xsYjHgg/edit?usp=sharing"",""พรบ!C79"")"),0)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66"/>
      <c r="K13" s="232"/>
      <c r="L13" s="52">
        <f ca="1">IFERROR(__xludf.DUMMYFUNCTION("IMPORTRANGE(""https://docs.google.com/spreadsheets/d/1C3CXT74ZlgGe6_JY_1olB1XN4rF0dxEuIIF-xsYjHgg/edit?usp=sharing"",""พรบ!D79"")"),0)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66"/>
      <c r="K14" s="232"/>
      <c r="L14" s="52">
        <f ca="1">IFERROR(__xludf.DUMMYFUNCTION("IMPORTRANGE(""https://docs.google.com/spreadsheets/d/1C3CXT74ZlgGe6_JY_1olB1XN4rF0dxEuIIF-xsYjHgg/edit?usp=sharing"",""พรบ!E79"")"),0)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28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IFERROR(__xludf.DUMMYFUNCTION("IMPORTRANGE(""https://docs.google.com/spreadsheets/d/1C3CXT74ZlgGe6_JY_1olB1XN4rF0dxEuIIF-xsYjHgg/edit?usp=sharing"",""พรบ!H79"")"),0)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IFERROR(__xludf.DUMMYFUNCTION("IMPORTRANGE(""https://docs.google.com/spreadsheets/d/1C3CXT74ZlgGe6_JY_1olB1XN4rF0dxEuIIF-xsYjHgg/edit?usp=sharing"",""พรบ!I79"")"),0)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IFERROR(__xludf.DUMMYFUNCTION("IMPORTRANGE(""https://docs.google.com/spreadsheets/d/1C3CXT74ZlgGe6_JY_1olB1XN4rF0dxEuIIF-xsYjHgg/edit?usp=sharing"",""พรบ!J79"")"),0)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IFERROR(__xludf.DUMMYFUNCTION("IMPORTRANGE(""https://docs.google.com/spreadsheets/d/1C3CXT74ZlgGe6_JY_1olB1XN4rF0dxEuIIF-xsYjHgg/edit?usp=sharing"",""พรบ!K79"")"),0)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IFERROR(__xludf.DUMMYFUNCTION("IMPORTRANGE(""https://docs.google.com/spreadsheets/d/1C3CXT74ZlgGe6_JY_1olB1XN4rF0dxEuIIF-xsYjHgg/edit?usp=sharing"",""พรบ!L79"")"),0)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IFERROR(__xludf.DUMMYFUNCTION("IMPORTRANGE(""https://docs.google.com/spreadsheets/d/1C3CXT74ZlgGe6_JY_1olB1XN4rF0dxEuIIF-xsYjHgg/edit?usp=sharing"",""พรบ!M79"")"),0)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IFERROR(__xludf.DUMMYFUNCTION("IMPORTRANGE(""https://docs.google.com/spreadsheets/d/1C3CXT74ZlgGe6_JY_1olB1XN4rF0dxEuIIF-xsYjHgg/edit?usp=sharing"",""พรบ!N79"")"),0)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6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IFERROR(__xludf.DUMMYFUNCTION("IMPORTRANGE(""https://docs.google.com/spreadsheets/d/1C3CXT74ZlgGe6_JY_1olB1XN4rF0dxEuIIF-xsYjHgg/edit?usp=sharing"",""พรบ!O79"")"),0)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IFERROR(__xludf.DUMMYFUNCTION("IMPORTRANGE(""https://docs.google.com/spreadsheets/d/1C3CXT74ZlgGe6_JY_1olB1XN4rF0dxEuIIF-xsYjHgg/edit?usp=sharing"",""พรบ!P79"")"),0)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IFERROR(__xludf.DUMMYFUNCTION("IMPORTRANGE(""https://docs.google.com/spreadsheets/d/1C3CXT74ZlgGe6_JY_1olB1XN4rF0dxEuIIF-xsYjHgg/edit?usp=sharing"",""พรบ!Q79"")"),0)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IFERROR(__xludf.DUMMYFUNCTION("IMPORTRANGE(""https://docs.google.com/spreadsheets/d/1C3CXT74ZlgGe6_JY_1olB1XN4rF0dxEuIIF-xsYjHgg/edit?usp=sharing"",""พรบ!R79"")"),0)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IFERROR(__xludf.DUMMYFUNCTION("IMPORTRANGE(""https://docs.google.com/spreadsheets/d/1C3CXT74ZlgGe6_JY_1olB1XN4rF0dxEuIIF-xsYjHgg/edit?usp=sharing"",""พรบ!S79"")"),0)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IFERROR(__xludf.DUMMYFUNCTION("IMPORTRANGE(""https://docs.google.com/spreadsheets/d/1C3CXT74ZlgGe6_JY_1olB1XN4rF0dxEuIIF-xsYjHgg/edit?usp=sharing"",""พรบ!T79"")"),0)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IFERROR(__xludf.DUMMYFUNCTION("IMPORTRANGE(""https://docs.google.com/spreadsheets/d/1C3CXT74ZlgGe6_JY_1olB1XN4rF0dxEuIIF-xsYjHgg/edit?usp=sharing"",""พรบ!U79"")"),0)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IFERROR(__xludf.DUMMYFUNCTION("IMPORTRANGE(""https://docs.google.com/spreadsheets/d/1C3CXT74ZlgGe6_JY_1olB1XN4rF0dxEuIIF-xsYjHgg/edit?usp=sharing"",""พรบ!V79"")"),0)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IFERROR(__xludf.DUMMYFUNCTION("IMPORTRANGE(""https://docs.google.com/spreadsheets/d/1C3CXT74ZlgGe6_JY_1olB1XN4rF0dxEuIIF-xsYjHgg/edit?usp=sharing"",""พรบ!W79"")"),0)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6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IFERROR(__xludf.DUMMYFUNCTION("IMPORTRANGE(""https://docs.google.com/spreadsheets/d/1C3CXT74ZlgGe6_JY_1olB1XN4rF0dxEuIIF-xsYjHgg/edit?usp=sharing"",""พรบ!Y79"")"),0)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IFERROR(__xludf.DUMMYFUNCTION("IMPORTRANGE(""https://docs.google.com/spreadsheets/d/1C3CXT74ZlgGe6_JY_1olB1XN4rF0dxEuIIF-xsYjHgg/edit?usp=sharing"",""พรบ!Z79"")"),0)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246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IFERROR(__xludf.DUMMYFUNCTION("IMPORTRANGE(""https://docs.google.com/spreadsheets/d/1C3CXT74ZlgGe6_JY_1olB1XN4rF0dxEuIIF-xsYjHgg/edit?usp=sharing"",""พรบ!AA79"")"),0)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7">
        <v>0</v>
      </c>
      <c r="K65" s="358"/>
      <c r="L65" s="359"/>
      <c r="M65" s="359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28400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28400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IFERROR(__xludf.DUMMYFUNCTION("IMPORTRANGE(""https://docs.google.com/spreadsheets/d/1C3CXT74ZlgGe6_JY_1olB1XN4rF0dxEuIIF-xsYjHgg/edit?usp=sharing"",""พรบ!AD79"")"),0)</f>
        <v>0</v>
      </c>
      <c r="M72" s="52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28400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IFERROR(__xludf.DUMMYFUNCTION("IMPORTRANGE(""https://docs.google.com/spreadsheets/d/1C3CXT74ZlgGe6_JY_1olB1XN4rF0dxEuIIF-xsYjHgg/edit?usp=sharing"",""พรบ!AF79"")"),7500)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IFERROR(__xludf.DUMMYFUNCTION("IMPORTRANGE(""https://docs.google.com/spreadsheets/d/1C3CXT74ZlgGe6_JY_1olB1XN4rF0dxEuIIF-xsYjHgg/edit?usp=sharing"",""พรบ!AG79"")"),4)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1</v>
      </c>
      <c r="J89" s="149">
        <f t="shared" si="21"/>
        <v>0</v>
      </c>
      <c r="K89" s="150">
        <f ca="1">IF(I89&gt;0,J89*100/I89,0)</f>
        <v>0</v>
      </c>
      <c r="L89" s="147">
        <f ca="1">L90+L91</f>
        <v>14000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14000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IFERROR(__xludf.DUMMYFUNCTION("IMPORTRANGE(""https://docs.google.com/spreadsheets/d/1C3CXT74ZlgGe6_JY_1olB1XN4rF0dxEuIIF-xsYjHgg/edit?usp=sharing"",""พรบ!AH79"")"),14000)</f>
        <v>14000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IFERROR(__xludf.DUMMYFUNCTION("IMPORTRANGE(""https://docs.google.com/spreadsheets/d/1C3CXT74ZlgGe6_JY_1olB1XN4rF0dxEuIIF-xsYjHgg/edit?usp=sharing"",""พรบ!AI79"")"),1)</f>
        <v>1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IFERROR(__xludf.DUMMYFUNCTION("IMPORTRANGE(""https://docs.google.com/spreadsheets/d/1C3CXT74ZlgGe6_JY_1olB1XN4rF0dxEuIIF-xsYjHgg/edit?usp=sharing"",""กปร!C79"")"),12000)</f>
        <v>12000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66"/>
      <c r="J104" s="66"/>
      <c r="K104" s="232"/>
      <c r="L104" s="52">
        <f ca="1">IFERROR(__xludf.DUMMYFUNCTION("IMPORTRANGE(""https://docs.google.com/spreadsheets/d/1C3CXT74ZlgGe6_JY_1olB1XN4rF0dxEuIIF-xsYjHgg/edit?usp=sharing"",""พรบ!AJ79"")"),0)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66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IFERROR(__xludf.DUMMYFUNCTION("IMPORTRANGE(""https://docs.google.com/spreadsheets/d/1C3CXT74ZlgGe6_JY_1olB1XN4rF0dxEuIIF-xsYjHgg/edit?usp=sharing"",""พรบ!AK79"")"),0)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IFERROR(__xludf.DUMMYFUNCTION("IMPORTRANGE(""https://docs.google.com/spreadsheets/d/1C3CXT74ZlgGe6_JY_1olB1XN4rF0dxEuIIF-xsYjHgg/edit?usp=sharing"",""กปร!D79"")"),0)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IFERROR(__xludf.DUMMYFUNCTION("IMPORTRANGE(""https://docs.google.com/spreadsheets/d/1C3CXT74ZlgGe6_JY_1olB1XN4rF0dxEuIIF-xsYjHgg/edit?usp=sharing"",""พรบ!AL79"")"),0)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IFERROR(__xludf.DUMMYFUNCTION("IMPORTRANGE(""https://docs.google.com/spreadsheets/d/1C3CXT74ZlgGe6_JY_1olB1XN4rF0dxEuIIF-xsYjHgg/edit?usp=sharing"",""กปร!E79"")"),0)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6">
        <v>0</v>
      </c>
      <c r="K113" s="48"/>
      <c r="L113" s="60"/>
      <c r="M113" s="60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5000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6900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6900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IFERROR(__xludf.DUMMYFUNCTION("IMPORTRANGE(""https://docs.google.com/spreadsheets/d/1C3CXT74ZlgGe6_JY_1olB1XN4rF0dxEuIIF-xsYjHgg/edit?usp=sharing"",""พรบ!AM79"")"),6900)</f>
        <v>6900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IFERROR(__xludf.DUMMYFUNCTION("IMPORTRANGE(""https://docs.google.com/spreadsheets/d/1C3CXT74ZlgGe6_JY_1olB1XN4rF0dxEuIIF-xsYjHgg/edit?usp=sharing"",""พรบ!AO79"")"),5000)</f>
        <v>5000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IFERROR(__xludf.DUMMYFUNCTION("IMPORTRANGE(""https://docs.google.com/spreadsheets/d/1C3CXT74ZlgGe6_JY_1olB1XN4rF0dxEuIIF-xsYjHgg/edit?usp=sharing"",""พรบ!AP79"")"),5000)</f>
        <v>5000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IFERROR(__xludf.DUMMYFUNCTION("IMPORTRANGE(""https://docs.google.com/spreadsheets/d/1C3CXT74ZlgGe6_JY_1olB1XN4rF0dxEuIIF-xsYjHgg/edit?usp=sharing"",""กปร!F79"")"),2900)</f>
        <v>2900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IFERROR(__xludf.DUMMYFUNCTION("IMPORTRANGE(""https://docs.google.com/spreadsheets/d/1C3CXT74ZlgGe6_JY_1olB1XN4rF0dxEuIIF-xsYjHgg/edit?usp=sharing"",""พรบ!AQ79"")"),0)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IFERROR(__xludf.DUMMYFUNCTION("IMPORTRANGE(""https://docs.google.com/spreadsheets/d/1C3CXT74ZlgGe6_JY_1olB1XN4rF0dxEuIIF-xsYjHgg/edit?usp=sharing"",""กปร!G79"")"),0)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IFERROR(__xludf.DUMMYFUNCTION("IMPORTRANGE(""https://docs.google.com/spreadsheets/d/1C3CXT74ZlgGe6_JY_1olB1XN4rF0dxEuIIF-xsYjHgg/edit?usp=sharing"",""พรบ!AR79"")"),0)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IFERROR(__xludf.DUMMYFUNCTION("IMPORTRANGE(""https://docs.google.com/spreadsheets/d/1C3CXT74ZlgGe6_JY_1olB1XN4rF0dxEuIIF-xsYjHgg/edit?usp=sharing"",""พรบ!AS79"")"),0)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IFERROR(__xludf.DUMMYFUNCTION("IMPORTRANGE(""https://docs.google.com/spreadsheets/d/1C3CXT74ZlgGe6_JY_1olB1XN4rF0dxEuIIF-xsYjHgg/edit?usp=sharing"",""กปร!H79"")"),0)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IFERROR(__xludf.DUMMYFUNCTION("IMPORTRANGE(""https://docs.google.com/spreadsheets/d/1C3CXT74ZlgGe6_JY_1olB1XN4rF0dxEuIIF-xsYjHgg/edit?usp=sharing"",""พรบ!AT79"")"),0)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IFERROR(__xludf.DUMMYFUNCTION("IMPORTRANGE(""https://docs.google.com/spreadsheets/d/1C3CXT74ZlgGe6_JY_1olB1XN4rF0dxEuIIF-xsYjHgg/edit?usp=sharing"",""กปร!I79"")"),0)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IFERROR(__xludf.DUMMYFUNCTION("IMPORTRANGE(""https://docs.google.com/spreadsheets/d/1C3CXT74ZlgGe6_JY_1olB1XN4rF0dxEuIIF-xsYjHgg/edit?usp=sharing"",""พรบ!AU79"")"),0)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IFERROR(__xludf.DUMMYFUNCTION("IMPORTRANGE(""https://docs.google.com/spreadsheets/d/1C3CXT74ZlgGe6_JY_1olB1XN4rF0dxEuIIF-xsYjHgg/edit?usp=sharing"",""กปร!J79"")"),0)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7">
        <v>0</v>
      </c>
      <c r="K143" s="358"/>
      <c r="L143" s="359"/>
      <c r="M143" s="359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0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0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0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IFERROR(__xludf.DUMMYFUNCTION("IMPORTRANGE(""https://docs.google.com/spreadsheets/d/1C3CXT74ZlgGe6_JY_1olB1XN4rF0dxEuIIF-xsYjHgg/edit?usp=sharing"",""พรบ!AY79"")"),0)</f>
        <v>0</v>
      </c>
      <c r="M148" s="52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0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6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6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6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6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IFERROR(__xludf.DUMMYFUNCTION("IMPORTRANGE(""https://docs.google.com/spreadsheets/d/1C3CXT74ZlgGe6_JY_1olB1XN4rF0dxEuIIF-xsYjHgg/edit?usp=sharing"",""พรบ!BA79"")"),0)</f>
        <v>0</v>
      </c>
      <c r="J155" s="66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6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356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66"/>
      <c r="K172" s="232"/>
      <c r="L172" s="52">
        <f ca="1">IFERROR(__xludf.DUMMYFUNCTION("IMPORTRANGE(""https://docs.google.com/spreadsheets/d/1C3CXT74ZlgGe6_JY_1olB1XN4rF0dxEuIIF-xsYjHgg/edit?usp=sharing"",""พรบ!BD79"")"),0)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66"/>
      <c r="K173" s="232"/>
      <c r="L173" s="52">
        <f ca="1">IFERROR(__xludf.DUMMYFUNCTION("IMPORTRANGE(""https://docs.google.com/spreadsheets/d/1C3CXT74ZlgGe6_JY_1olB1XN4rF0dxEuIIF-xsYjHgg/edit?usp=sharing"",""พรบ!BE79"")"),0)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IFERROR(__xludf.DUMMYFUNCTION("IMPORTRANGE(""https://docs.google.com/spreadsheets/d/1C3CXT74ZlgGe6_JY_1olB1XN4rF0dxEuIIF-xsYjHgg/edit?usp=sharing"",""พรบ!BF79"")"),0)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IFERROR(__xludf.DUMMYFUNCTION("IMPORTRANGE(""https://docs.google.com/spreadsheets/d/1C3CXT74ZlgGe6_JY_1olB1XN4rF0dxEuIIF-xsYjHgg/edit?usp=sharing"",""พรบ!BG79"")"),0)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IFERROR(__xludf.DUMMYFUNCTION("IMPORTRANGE(""https://docs.google.com/spreadsheets/d/1C3CXT74ZlgGe6_JY_1olB1XN4rF0dxEuIIF-xsYjHgg/edit?usp=sharing"",""พรบ!BH79"")"),0)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IFERROR(__xludf.DUMMYFUNCTION("IMPORTRANGE(""https://docs.google.com/spreadsheets/d/1C3CXT74ZlgGe6_JY_1olB1XN4rF0dxEuIIF-xsYjHgg/edit?usp=sharing"",""พรบ!BI79"")"),0)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7">
        <v>0</v>
      </c>
      <c r="K184" s="358"/>
      <c r="L184" s="359"/>
      <c r="M184" s="359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0</v>
      </c>
      <c r="J185" s="177">
        <f>+J195</f>
        <v>0</v>
      </c>
      <c r="K185" s="178">
        <f ca="1">IF(I185&gt;0,J185*100/I185,0)</f>
        <v>0</v>
      </c>
      <c r="L185" s="179">
        <f ca="1">L186+L187</f>
        <v>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66"/>
      <c r="K188" s="232"/>
      <c r="L188" s="52">
        <f ca="1">IFERROR(__xludf.DUMMYFUNCTION("IMPORTRANGE(""https://docs.google.com/spreadsheets/d/1C3CXT74ZlgGe6_JY_1olB1XN4rF0dxEuIIF-xsYjHgg/edit?usp=sharing"",""พรบ!BK79"")"),0)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66"/>
      <c r="K189" s="232"/>
      <c r="L189" s="52">
        <f ca="1">IFERROR(__xludf.DUMMYFUNCTION("IMPORTRANGE(""https://docs.google.com/spreadsheets/d/1C3CXT74ZlgGe6_JY_1olB1XN4rF0dxEuIIF-xsYjHgg/edit?usp=sharing"",""พรบ!BL79"")"),0)</f>
        <v>0</v>
      </c>
      <c r="M189" s="52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66"/>
      <c r="K190" s="232"/>
      <c r="L190" s="52"/>
      <c r="M190" s="52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6">
        <v>0</v>
      </c>
      <c r="K191" s="232"/>
      <c r="L191" s="52"/>
      <c r="M191" s="52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6">
        <v>0</v>
      </c>
      <c r="K192" s="232"/>
      <c r="L192" s="52"/>
      <c r="M192" s="52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6">
        <v>0</v>
      </c>
      <c r="K193" s="232"/>
      <c r="L193" s="52"/>
      <c r="M193" s="52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6">
        <v>0</v>
      </c>
      <c r="K194" s="232"/>
      <c r="L194" s="52"/>
      <c r="M194" s="52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IFERROR(__xludf.DUMMYFUNCTION("IMPORTRANGE(""https://docs.google.com/spreadsheets/d/1C3CXT74ZlgGe6_JY_1olB1XN4rF0dxEuIIF-xsYjHgg/edit?usp=sharing"",""พรบ!BM79"")"),0)</f>
        <v>0</v>
      </c>
      <c r="J195" s="66">
        <v>0</v>
      </c>
      <c r="K195" s="232">
        <f ca="1">IF(I195&gt;0,J195*100/I195,0)</f>
        <v>0</v>
      </c>
      <c r="L195" s="52"/>
      <c r="M195" s="52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6">
        <v>0</v>
      </c>
      <c r="K196" s="232"/>
      <c r="L196" s="52"/>
      <c r="M196" s="52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356">
        <v>0</v>
      </c>
      <c r="K197" s="232"/>
      <c r="L197" s="52"/>
      <c r="M197" s="52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IFERROR(__xludf.DUMMYFUNCTION("IMPORTRANGE(""https://docs.google.com/spreadsheets/d/1C3CXT74ZlgGe6_JY_1olB1XN4rF0dxEuIIF-xsYjHgg/edit?usp=sharing"",""พรบ!BP79"")"),0)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IFERROR(__xludf.DUMMYFUNCTION("IMPORTRANGE(""https://docs.google.com/spreadsheets/d/1C3CXT74ZlgGe6_JY_1olB1XN4rF0dxEuIIF-xsYjHgg/edit?usp=sharing"",""พรบ!BQ79"")"),0)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IFERROR(__xludf.DUMMYFUNCTION("IMPORTRANGE(""https://docs.google.com/spreadsheets/d/1C3CXT74ZlgGe6_JY_1olB1XN4rF0dxEuIIF-xsYjHgg/edit?usp=sharing"",""พรบ!BR79"")"),0)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IFERROR(__xludf.DUMMYFUNCTION("IMPORTRANGE(""https://docs.google.com/spreadsheets/d/1C3CXT74ZlgGe6_JY_1olB1XN4rF0dxEuIIF-xsYjHgg/edit?usp=sharing"",""พรบ!BU79"")"),0)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IFERROR(__xludf.DUMMYFUNCTION("IMPORTRANGE(""https://docs.google.com/spreadsheets/d/1C3CXT74ZlgGe6_JY_1olB1XN4rF0dxEuIIF-xsYjHgg/edit?usp=sharing"",""พรบ!BV79"")"),0)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0</v>
      </c>
      <c r="J228" s="197">
        <f ca="1">J240</f>
        <v>0</v>
      </c>
      <c r="K228" s="178">
        <f ca="1">IF(I228&gt;0,J228*100/I228,0)</f>
        <v>0</v>
      </c>
      <c r="L228" s="179">
        <f ca="1">L229+L230</f>
        <v>541910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541910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IFERROR(__xludf.DUMMYFUNCTION("IMPORTRANGE(""https://docs.google.com/spreadsheets/d/1C3CXT74ZlgGe6_JY_1olB1XN4rF0dxEuIIF-xsYjHgg/edit?usp=sharing"",""พรบ!BX79"")"),493800)</f>
        <v>493800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IFERROR(__xludf.DUMMYFUNCTION("IMPORTRANGE(""https://docs.google.com/spreadsheets/d/1C3CXT74ZlgGe6_JY_1olB1XN4rF0dxEuIIF-xsYjHgg/edit?usp=sharing"",""พรบ!BY79"")"),48110)</f>
        <v>48110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IFERROR(__xludf.DUMMYFUNCTION("IMPORTRANGE(""https://docs.google.com/spreadsheets/d/1AGHcLOeeYFL3K4b9R1dSzyJy00PE_ra89DNTVfnxSWM/edit?usp=sharing"",""รวมที่ทำกิน!J68"")"),0)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IFERROR(__xludf.DUMMYFUNCTION("IMPORTRANGE(""https://docs.google.com/spreadsheets/d/1C3CXT74ZlgGe6_JY_1olB1XN4rF0dxEuIIF-xsYjHgg/edit?usp=sharing"",""พรบ!BZ79"")"),0)</f>
        <v>0</v>
      </c>
      <c r="J235" s="66">
        <f ca="1">IFERROR(__xludf.DUMMYFUNCTION("IMPORTRANGE(""https://docs.google.com/spreadsheets/d/1AGHcLOeeYFL3K4b9R1dSzyJy00PE_ra89DNTVfnxSWM/edit?usp=sharing"",""รวมที่ทำกิน!L68"")"),0)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IFERROR(__xludf.DUMMYFUNCTION("IMPORTRANGE(""https://docs.google.com/spreadsheets/d/1C3CXT74ZlgGe6_JY_1olB1XN4rF0dxEuIIF-xsYjHgg/edit?usp=sharing"",""พรบ!CA79"")"),0)</f>
        <v>0</v>
      </c>
      <c r="J236" s="66">
        <f ca="1">IFERROR(__xludf.DUMMYFUNCTION("IMPORTRANGE(""https://docs.google.com/spreadsheets/d/1AGHcLOeeYFL3K4b9R1dSzyJy00PE_ra89DNTVfnxSWM/edit?usp=sharing"",""รวมที่ทำกิน!O68"")"),0)</f>
        <v>0</v>
      </c>
      <c r="K236" s="200">
        <f t="shared" ca="1" si="52"/>
        <v>0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IFERROR(__xludf.DUMMYFUNCTION("IMPORTRANGE(""https://docs.google.com/spreadsheets/d/1AGHcLOeeYFL3K4b9R1dSzyJy00PE_ra89DNTVfnxSWM/edit?usp=sharing"",""รวมที่ทำกิน!Q68"")"),0)</f>
        <v>0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IFERROR(__xludf.DUMMYFUNCTION("IMPORTRANGE(""https://docs.google.com/spreadsheets/d/1C3CXT74ZlgGe6_JY_1olB1XN4rF0dxEuIIF-xsYjHgg/edit?usp=sharing"",""พรบ!CB79"")"),0)</f>
        <v>0</v>
      </c>
      <c r="J238" s="66">
        <f ca="1">IFERROR(__xludf.DUMMYFUNCTION("IMPORTRANGE(""https://docs.google.com/spreadsheets/d/1AGHcLOeeYFL3K4b9R1dSzyJy00PE_ra89DNTVfnxSWM/edit?usp=sharing"",""รวมที่ทำกิน!S68"")"),0)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IFERROR(__xludf.DUMMYFUNCTION("IMPORTRANGE(""https://docs.google.com/spreadsheets/d/1AGHcLOeeYFL3K4b9R1dSzyJy00PE_ra89DNTVfnxSWM/edit?usp=sharing"",""รวมที่ทำกิน!U68"")"),0)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IFERROR(__xludf.DUMMYFUNCTION("IMPORTRANGE(""https://docs.google.com/spreadsheets/d/1C3CXT74ZlgGe6_JY_1olB1XN4rF0dxEuIIF-xsYjHgg/edit?usp=sharing"",""พรบ!CC79"")"),0)</f>
        <v>0</v>
      </c>
      <c r="J240" s="66">
        <f ca="1">IFERROR(__xludf.DUMMYFUNCTION("IMPORTRANGE(""https://docs.google.com/spreadsheets/d/1AGHcLOeeYFL3K4b9R1dSzyJy00PE_ra89DNTVfnxSWM/edit?usp=sharing"",""รวมที่ทำกิน!W68"")"),0)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IFERROR(__xludf.DUMMYFUNCTION("IMPORTRANGE(""https://docs.google.com/spreadsheets/d/1AGHcLOeeYFL3K4b9R1dSzyJy00PE_ra89DNTVfnxSWM/edit?usp=sharing"",""รวมที่ทำกิน!Y68"")"),0)</f>
        <v>0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324940</v>
      </c>
      <c r="M242" s="213">
        <f t="shared" si="53"/>
        <v>0</v>
      </c>
      <c r="N242" s="213">
        <f ca="1">+IF(L242&gt;0,M242*100/L242,0)</f>
        <v>0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30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69720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10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69720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IFERROR(__xludf.DUMMYFUNCTION("IMPORTRANGE(""https://docs.google.com/spreadsheets/d/1C3CXT74ZlgGe6_JY_1olB1XN4rF0dxEuIIF-xsYjHgg/edit?usp=sharing"",""งบกองทุน!d79"")"),0)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IFERROR(__xludf.DUMMYFUNCTION("IMPORTRANGE(""https://docs.google.com/spreadsheets/d/1C3CXT74ZlgGe6_JY_1olB1XN4rF0dxEuIIF-xsYjHgg/edit?usp=sharing"",""งบกองทุน!e79"")"),69720)</f>
        <v>69720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0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0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IFERROR(__xludf.DUMMYFUNCTION("IMPORTRANGE(""https://docs.google.com/spreadsheets/d/1C3CXT74ZlgGe6_JY_1olB1XN4rF0dxEuIIF-xsYjHgg/edit?usp=sharing"",""งบกองทุน!f79"")"),0)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30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IFERROR(__xludf.DUMMYFUNCTION("IMPORTRANGE(""https://docs.google.com/spreadsheets/d/1C3CXT74ZlgGe6_JY_1olB1XN4rF0dxEuIIF-xsYjHgg/edit?usp=sharing"",""งบกองทุน!H79"")"),10)</f>
        <v>10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IFERROR(__xludf.DUMMYFUNCTION("IMPORTRANGE(""https://docs.google.com/spreadsheets/d/1C3CXT74ZlgGe6_JY_1olB1XN4rF0dxEuIIF-xsYjHgg/edit?usp=sharing"",""งบกองทุน!i79"")"),0)</f>
        <v>0</v>
      </c>
      <c r="J264" s="66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10</v>
      </c>
      <c r="J265" s="66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IFERROR(__xludf.DUMMYFUNCTION("IMPORTRANGE(""https://docs.google.com/spreadsheets/d/1C3CXT74ZlgGe6_JY_1olB1XN4rF0dxEuIIF-xsYjHgg/edit?usp=sharing"",""งบกองทุน!k79"")"),30)</f>
        <v>30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10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IFERROR(__xludf.DUMMYFUNCTION("IMPORTRANGE(""https://docs.google.com/spreadsheets/d/1C3CXT74ZlgGe6_JY_1olB1XN4rF0dxEuIIF-xsYjHgg/edit?usp=sharing"",""งบกองทุน!m79"")"),0)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30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IFERROR(__xludf.DUMMYFUNCTION("IMPORTRANGE(""https://docs.google.com/spreadsheets/d/1C3CXT74ZlgGe6_JY_1olB1XN4rF0dxEuIIF-xsYjHgg/edit?usp=sharing"",""งบกองทุน!o79"")"),30)</f>
        <v>30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IFERROR(__xludf.DUMMYFUNCTION("IMPORTRANGE(""https://docs.google.com/spreadsheets/d/1C3CXT74ZlgGe6_JY_1olB1XN4rF0dxEuIIF-xsYjHgg/edit?usp=sharing"",""งบกองทุน!p79"")"),0)</f>
        <v>0</v>
      </c>
      <c r="J272" s="66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IFERROR(__xludf.DUMMYFUNCTION("IMPORTRANGE(""https://docs.google.com/spreadsheets/d/1C3CXT74ZlgGe6_JY_1olB1XN4rF0dxEuIIF-xsYjHgg/edit?usp=sharing"",""งบกองทุน!r79"")"),0)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IFERROR(__xludf.DUMMYFUNCTION("IMPORTRANGE(""https://docs.google.com/spreadsheets/d/1C3CXT74ZlgGe6_JY_1olB1XN4rF0dxEuIIF-xsYjHgg/edit?usp=sharing"",""งบกองทุน!s79"")"),0)</f>
        <v>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2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2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2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2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66"/>
      <c r="K285" s="232"/>
      <c r="L285" s="52"/>
      <c r="M285" s="52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6">
        <v>0</v>
      </c>
      <c r="K286" s="232"/>
      <c r="L286" s="52"/>
      <c r="M286" s="52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6">
        <v>0</v>
      </c>
      <c r="K287" s="232"/>
      <c r="L287" s="52" t="s">
        <v>21</v>
      </c>
      <c r="M287" s="52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6">
        <v>0</v>
      </c>
      <c r="K288" s="232"/>
      <c r="L288" s="52"/>
      <c r="M288" s="52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6">
        <v>0</v>
      </c>
      <c r="K289" s="232"/>
      <c r="L289" s="52"/>
      <c r="M289" s="52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232"/>
      <c r="L290" s="52"/>
      <c r="M290" s="52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IFERROR(__xludf.DUMMYFUNCTION("IMPORTRANGE(""https://docs.google.com/spreadsheets/d/1C3CXT74ZlgGe6_JY_1olB1XN4rF0dxEuIIF-xsYjHgg/edit?usp=sharing"",""งบกองทุน!v79"")"),0)</f>
        <v>0</v>
      </c>
      <c r="J291" s="66">
        <v>0</v>
      </c>
      <c r="K291" s="232">
        <f t="shared" ref="K291:K293" ca="1" si="67">IF(I291&gt;0,J291*100/I291,0)</f>
        <v>0</v>
      </c>
      <c r="L291" s="52"/>
      <c r="M291" s="52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IFERROR(__xludf.DUMMYFUNCTION("IMPORTRANGE(""https://docs.google.com/spreadsheets/d/1C3CXT74ZlgGe6_JY_1olB1XN4rF0dxEuIIF-xsYjHgg/edit?usp=sharing"",""งบกองทุน!w79"")"),0)</f>
        <v>0</v>
      </c>
      <c r="J292" s="66">
        <v>0</v>
      </c>
      <c r="K292" s="232">
        <f t="shared" ca="1" si="67"/>
        <v>0</v>
      </c>
      <c r="L292" s="52"/>
      <c r="M292" s="52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IFERROR(__xludf.DUMMYFUNCTION("IMPORTRANGE(""https://docs.google.com/spreadsheets/d/1C3CXT74ZlgGe6_JY_1olB1XN4rF0dxEuIIF-xsYjHgg/edit?usp=sharing"",""งบกองทุน!x79"")"),0)</f>
        <v>0</v>
      </c>
      <c r="J293" s="66">
        <v>0</v>
      </c>
      <c r="K293" s="232">
        <f t="shared" ca="1" si="67"/>
        <v>0</v>
      </c>
      <c r="L293" s="52"/>
      <c r="M293" s="52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6">
        <v>0</v>
      </c>
      <c r="K294" s="232"/>
      <c r="L294" s="52"/>
      <c r="M294" s="52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356">
        <v>0</v>
      </c>
      <c r="K295" s="232"/>
      <c r="L295" s="52"/>
      <c r="M295" s="52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30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31440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10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31440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IFERROR(__xludf.DUMMYFUNCTION("IMPORTRANGE(""https://docs.google.com/spreadsheets/d/1C3CXT74ZlgGe6_JY_1olB1XN4rF0dxEuIIF-xsYjHgg/edit?usp=sharing"",""งบกองทุน!z79"")"),0)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IFERROR(__xludf.DUMMYFUNCTION("IMPORTRANGE(""https://docs.google.com/spreadsheets/d/1C3CXT74ZlgGe6_JY_1olB1XN4rF0dxEuIIF-xsYjHgg/edit?usp=sharing"",""งบกองทุน!aa79"")"),31440)</f>
        <v>31440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10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IFERROR(__xludf.DUMMYFUNCTION("IMPORTRANGE(""https://docs.google.com/spreadsheets/d/1C3CXT74ZlgGe6_JY_1olB1XN4rF0dxEuIIF-xsYjHgg/edit?usp=sharing"",""งบกองทุน!ae79"")"),0)</f>
        <v>0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IFERROR(__xludf.DUMMYFUNCTION("IMPORTRANGE(""https://docs.google.com/spreadsheets/d/1C3CXT74ZlgGe6_JY_1olB1XN4rF0dxEuIIF-xsYjHgg/edit?usp=sharing"",""งบกองทุน!ad79"")"),0)</f>
        <v>0</v>
      </c>
      <c r="J313" s="78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IFERROR(__xludf.DUMMYFUNCTION("IMPORTRANGE(""https://docs.google.com/spreadsheets/d/1C3CXT74ZlgGe6_JY_1olB1XN4rF0dxEuIIF-xsYjHgg/edit?usp=sharing"",""งบกองทุน!af79"")"),0)</f>
        <v>0</v>
      </c>
      <c r="J314" s="66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IFERROR(__xludf.DUMMYFUNCTION("IMPORTRANGE(""https://docs.google.com/spreadsheets/d/1C3CXT74ZlgGe6_JY_1olB1XN4rF0dxEuIIF-xsYjHgg/edit?usp=sharing"",""งบกองทุน!ag79"")"),0)</f>
        <v>0</v>
      </c>
      <c r="J315" s="111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IFERROR(__xludf.DUMMYFUNCTION("IMPORTRANGE(""https://docs.google.com/spreadsheets/d/1C3CXT74ZlgGe6_JY_1olB1XN4rF0dxEuIIF-xsYjHgg/edit?usp=sharing"",""งบกองทุน!ai79"")"),0)</f>
        <v>0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IFERROR(__xludf.DUMMYFUNCTION("IMPORTRANGE(""https://docs.google.com/spreadsheets/d/1C3CXT74ZlgGe6_JY_1olB1XN4rF0dxEuIIF-xsYjHgg/edit?usp=sharing"",""งบกองทุน!ah79"")"),0)</f>
        <v>0</v>
      </c>
      <c r="J317" s="78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IFERROR(__xludf.DUMMYFUNCTION("IMPORTRANGE(""https://docs.google.com/spreadsheets/d/1C3CXT74ZlgGe6_JY_1olB1XN4rF0dxEuIIF-xsYjHgg/edit?usp=sharing"",""งบกองทุน!aj79"")"),0)</f>
        <v>0</v>
      </c>
      <c r="J318" s="66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IFERROR(__xludf.DUMMYFUNCTION("IMPORTRANGE(""https://docs.google.com/spreadsheets/d/1C3CXT74ZlgGe6_JY_1olB1XN4rF0dxEuIIF-xsYjHgg/edit?usp=sharing"",""งบกองทุน!ak79"")"),0)</f>
        <v>0</v>
      </c>
      <c r="J319" s="66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IFERROR(__xludf.DUMMYFUNCTION("IMPORTRANGE(""https://docs.google.com/spreadsheets/d/1C3CXT74ZlgGe6_JY_1olB1XN4rF0dxEuIIF-xsYjHgg/edit?usp=sharing"",""งบกองทุน!al79"")"),0)</f>
        <v>0</v>
      </c>
      <c r="J320" s="66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IFERROR(__xludf.DUMMYFUNCTION("IMPORTRANGE(""https://docs.google.com/spreadsheets/d/1C3CXT74ZlgGe6_JY_1olB1XN4rF0dxEuIIF-xsYjHgg/edit?usp=sharing"",""งบกองทุน!an79"")"),10)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IFERROR(__xludf.DUMMYFUNCTION("IMPORTRANGE(""https://docs.google.com/spreadsheets/d/1C3CXT74ZlgGe6_JY_1olB1XN4rF0dxEuIIF-xsYjHgg/edit?usp=sharing"",""งบกองทุน!am79"")"),30)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IFERROR(__xludf.DUMMYFUNCTION("IMPORTRANGE(""https://docs.google.com/spreadsheets/d/1C3CXT74ZlgGe6_JY_1olB1XN4rF0dxEuIIF-xsYjHgg/edit?usp=sharing"",""งบกองทุน!ao79"")"),10)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IFERROR(__xludf.DUMMYFUNCTION("IMPORTRANGE(""https://docs.google.com/spreadsheets/d/1C3CXT74ZlgGe6_JY_1olB1XN4rF0dxEuIIF-xsYjHgg/edit?usp=sharing"",""งบกองทุน!ap79"")"),10)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0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IFERROR(__xludf.DUMMYFUNCTION("IMPORTRANGE(""https://docs.google.com/spreadsheets/d/1C3CXT74ZlgGe6_JY_1olB1XN4rF0dxEuIIF-xsYjHgg/edit?usp=sharing"",""งบกองทุน!ar79"")"),0)</f>
        <v>0</v>
      </c>
      <c r="J326" s="66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IFERROR(__xludf.DUMMYFUNCTION("IMPORTRANGE(""https://docs.google.com/spreadsheets/d/1C3CXT74ZlgGe6_JY_1olB1XN4rF0dxEuIIF-xsYjHgg/edit?usp=sharing"",""งบกองทุน!as79"")"),0)</f>
        <v>0</v>
      </c>
      <c r="J327" s="66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10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71000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71000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IFERROR(__xludf.DUMMYFUNCTION("IMPORTRANGE(""https://docs.google.com/spreadsheets/d/1C3CXT74ZlgGe6_JY_1olB1XN4rF0dxEuIIF-xsYjHgg/edit?usp=sharing"",""งบกองทุน!au79"")"),0)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IFERROR(__xludf.DUMMYFUNCTION("IMPORTRANGE(""https://docs.google.com/spreadsheets/d/1C3CXT74ZlgGe6_JY_1olB1XN4rF0dxEuIIF-xsYjHgg/edit?usp=sharing"",""งบกองทุน!av79"")"),71000)</f>
        <v>71000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10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IFERROR(__xludf.DUMMYFUNCTION("IMPORTRANGE(""https://docs.google.com/spreadsheets/d/1C3CXT74ZlgGe6_JY_1olB1XN4rF0dxEuIIF-xsYjHgg/edit?usp=sharing"",""งบกองทุน!ay79"")"),10)</f>
        <v>10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IFERROR(__xludf.DUMMYFUNCTION("IMPORTRANGE(""https://docs.google.com/spreadsheets/d/1C3CXT74ZlgGe6_JY_1olB1XN4rF0dxEuIIF-xsYjHgg/edit?usp=sharing"",""งบกองทุน!az79"")"),0)</f>
        <v>0</v>
      </c>
      <c r="J346" s="67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IFERROR(__xludf.DUMMYFUNCTION("IMPORTRANGE(""https://docs.google.com/spreadsheets/d/1C3CXT74ZlgGe6_JY_1olB1XN4rF0dxEuIIF-xsYjHgg/edit?usp=sharing"",""งบกองทุน!Ba79"")"),0)</f>
        <v>0</v>
      </c>
      <c r="J347" s="67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0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0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0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IFERROR(__xludf.DUMMYFUNCTION("IMPORTRANGE(""https://docs.google.com/spreadsheets/d/1C3CXT74ZlgGe6_JY_1olB1XN4rF0dxEuIIF-xsYjHgg/edit?usp=sharing"",""งบกองทุน!Bc79"")"),0)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IFERROR(__xludf.DUMMYFUNCTION("IMPORTRANGE(""https://docs.google.com/spreadsheets/d/1C3CXT74ZlgGe6_JY_1olB1XN4rF0dxEuIIF-xsYjHgg/edit?usp=sharing"",""งบกองทุน!Bd79"")"),0)</f>
        <v>0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2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2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IFERROR(__xludf.DUMMYFUNCTION("IMPORTRANGE(""https://docs.google.com/spreadsheets/d/1C3CXT74ZlgGe6_JY_1olB1XN4rF0dxEuIIF-xsYjHgg/edit?usp=sharing"",""งบกองทุน!BE79"")"),0)</f>
        <v>0</v>
      </c>
      <c r="J359" s="136">
        <f>+J376</f>
        <v>0</v>
      </c>
      <c r="K359" s="137">
        <f t="shared" ref="K359:K425" ca="1" si="82">IF(I359&gt;0,J359*100/I359,0)</f>
        <v>0</v>
      </c>
      <c r="L359" s="139"/>
      <c r="M359" s="4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IFERROR(__xludf.DUMMYFUNCTION("IMPORTRANGE(""https://docs.google.com/spreadsheets/d/1C3CXT74ZlgGe6_JY_1olB1XN4rF0dxEuIIF-xsYjHgg/edit?usp=sharing"",""งบกองทุน!BE79"")"),0)</f>
        <v>0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IFERROR(__xludf.DUMMYFUNCTION("IMPORTRANGE(""https://docs.google.com/spreadsheets/d/1C3CXT74ZlgGe6_JY_1olB1XN4rF0dxEuIIF-xsYjHgg/edit?usp=sharing"",""งบกองทุน!Bf79"")"),0)</f>
        <v>0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6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6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6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6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6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6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0</v>
      </c>
      <c r="J368" s="78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47">
        <f ca="1">I361</f>
        <v>0</v>
      </c>
      <c r="J369" s="78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6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6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6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6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6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6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0</v>
      </c>
      <c r="J376" s="78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47">
        <f ca="1">I361</f>
        <v>0</v>
      </c>
      <c r="J377" s="78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6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6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6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6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78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78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6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6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6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6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6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6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IFERROR(__xludf.DUMMYFUNCTION("IMPORTRANGE(""https://docs.google.com/spreadsheets/d/1C3CXT74ZlgGe6_JY_1olB1XN4rF0dxEuIIF-xsYjHgg/edit?usp=sharing"",""งบกองทุน!cd79"")"),0)</f>
        <v>0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IFERROR(__xludf.DUMMYFUNCTION("IMPORTRANGE(""https://docs.google.com/spreadsheets/d/1C3CXT74ZlgGe6_JY_1olB1XN4rF0dxEuIIF-xsYjHgg/edit?usp=sharing"",""งบกองทุน!cd79"")"),0)</f>
        <v>0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IFERROR(__xludf.DUMMYFUNCTION("IMPORTRANGE(""https://docs.google.com/spreadsheets/d/1C3CXT74ZlgGe6_JY_1olB1XN4rF0dxEuIIF-xsYjHgg/edit?usp=sharing"",""งบกองทุน!cc79"")"),0)</f>
        <v>0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6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6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6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6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6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6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66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66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6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6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6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6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6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6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IFERROR(__xludf.DUMMYFUNCTION("IMPORTRANGE(""https://docs.google.com/spreadsheets/d/1C3CXT74ZlgGe6_JY_1olB1XN4rF0dxEuIIF-xsYjHgg/edit?usp=sharing"",""งบกองทุน!cz79"")"),0)</f>
        <v>0</v>
      </c>
      <c r="J409" s="136">
        <v>0</v>
      </c>
      <c r="K409" s="137">
        <f t="shared" ca="1" si="82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IFERROR(__xludf.DUMMYFUNCTION("IMPORTRANGE(""https://docs.google.com/spreadsheets/d/1C3CXT74ZlgGe6_JY_1olB1XN4rF0dxEuIIF-xsYjHgg/edit?usp=sharing"",""งบกองทุน!cz79"")"),0)</f>
        <v>0</v>
      </c>
      <c r="J410" s="149">
        <v>0</v>
      </c>
      <c r="K410" s="146">
        <f t="shared" ca="1" si="82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IFERROR(__xludf.DUMMYFUNCTION("IMPORTRANGE(""https://docs.google.com/spreadsheets/d/1C3CXT74ZlgGe6_JY_1olB1XN4rF0dxEuIIF-xsYjHgg/edit?usp=sharing"",""งบกองทุน!cy79"")"),0)</f>
        <v>0</v>
      </c>
      <c r="J411" s="149">
        <v>0</v>
      </c>
      <c r="K411" s="146">
        <f t="shared" ca="1" si="82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IFERROR(__xludf.DUMMYFUNCTION("IMPORTRANGE(""https://docs.google.com/spreadsheets/d/1C3CXT74ZlgGe6_JY_1olB1XN4rF0dxEuIIF-xsYjHgg/edit?usp=sharing"",""งบกองทุน!db79"")"),0)</f>
        <v>0</v>
      </c>
      <c r="K412" s="48">
        <f t="shared" si="82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IFERROR(__xludf.DUMMYFUNCTION("IMPORTRANGE(""https://docs.google.com/spreadsheets/d/1C3CXT74ZlgGe6_JY_1olB1XN4rF0dxEuIIF-xsYjHgg/edit?usp=sharing"",""งบกองทุน!da79"")"),0)</f>
        <v>0</v>
      </c>
      <c r="K413" s="48">
        <f t="shared" si="82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IFERROR(__xludf.DUMMYFUNCTION("IMPORTRANGE(""https://docs.google.com/spreadsheets/d/1C3CXT74ZlgGe6_JY_1olB1XN4rF0dxEuIIF-xsYjHgg/edit?usp=sharing"",""งบกองทุน!dd79"")"),0)</f>
        <v>0</v>
      </c>
      <c r="K414" s="48">
        <f t="shared" si="82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IFERROR(__xludf.DUMMYFUNCTION("IMPORTRANGE(""https://docs.google.com/spreadsheets/d/1C3CXT74ZlgGe6_JY_1olB1XN4rF0dxEuIIF-xsYjHgg/edit?usp=sharing"",""งบกองทุน!dc79"")"),0)</f>
        <v>0</v>
      </c>
      <c r="K415" s="48">
        <f t="shared" si="82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IFERROR(__xludf.DUMMYFUNCTION("IMPORTRANGE(""https://docs.google.com/spreadsheets/d/1C3CXT74ZlgGe6_JY_1olB1XN4rF0dxEuIIF-xsYjHgg/edit?usp=sharing"",""งบกองทุน!df79"")"),0)</f>
        <v>0</v>
      </c>
      <c r="K416" s="48">
        <f t="shared" si="82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IFERROR(__xludf.DUMMYFUNCTION("IMPORTRANGE(""https://docs.google.com/spreadsheets/d/1C3CXT74ZlgGe6_JY_1olB1XN4rF0dxEuIIF-xsYjHgg/edit?usp=sharing"",""งบกองทุน!de79"")"),0)</f>
        <v>0</v>
      </c>
      <c r="K417" s="48">
        <f t="shared" si="82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f t="shared" ca="1" si="82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f t="shared" ca="1" si="82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f t="shared" si="82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f t="shared" si="82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f t="shared" si="82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f t="shared" si="82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f t="shared" si="82"/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4">
        <v>0</v>
      </c>
      <c r="J425" s="300">
        <v>0</v>
      </c>
      <c r="K425" s="301">
        <f t="shared" si="82"/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10</v>
      </c>
      <c r="J426" s="257">
        <f t="shared" si="91"/>
        <v>0</v>
      </c>
      <c r="K426" s="258">
        <f ca="1">IF(I426&gt;0,J426*100/I426,0)</f>
        <v>0</v>
      </c>
      <c r="L426" s="259">
        <f t="shared" ref="L426:M426" ca="1" si="92">SUM(L427:L428)</f>
        <v>24140</v>
      </c>
      <c r="M426" s="259">
        <f t="shared" si="92"/>
        <v>0</v>
      </c>
      <c r="N426" s="259">
        <f t="shared" ref="N426:N430" ca="1" si="93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24140</v>
      </c>
      <c r="M428" s="52">
        <f t="shared" si="94"/>
        <v>0</v>
      </c>
      <c r="N428" s="52">
        <f t="shared" ca="1" si="93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IFERROR(__xludf.DUMMYFUNCTION("IMPORTRANGE(""https://docs.google.com/spreadsheets/d/1C3CXT74ZlgGe6_JY_1olB1XN4rF0dxEuIIF-xsYjHgg/edit?usp=sharing"",""งบกองทุน!dn79"")"),0)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IFERROR(__xludf.DUMMYFUNCTION("IMPORTRANGE(""https://docs.google.com/spreadsheets/d/1C3CXT74ZlgGe6_JY_1olB1XN4rF0dxEuIIF-xsYjHgg/edit?usp=sharing"",""งบกองทุน!do79"")"),24140)</f>
        <v>24140</v>
      </c>
      <c r="M430" s="52">
        <f>SUM(M431:M434)</f>
        <v>0</v>
      </c>
      <c r="N430" s="52">
        <f t="shared" ca="1" si="93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0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IFERROR(__xludf.DUMMYFUNCTION("IMPORTRANGE(""https://docs.google.com/spreadsheets/d/1C3CXT74ZlgGe6_JY_1olB1XN4rF0dxEuIIF-xsYjHgg/edit?usp=sharing"",""งบกองทุน!dq79"")"),10)</f>
        <v>10</v>
      </c>
      <c r="J440" s="67">
        <v>0</v>
      </c>
      <c r="K440" s="48">
        <f t="shared" ref="K440:K441" ca="1" si="95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IFERROR(__xludf.DUMMYFUNCTION("IMPORTRANGE(""https://docs.google.com/spreadsheets/d/1C3CXT74ZlgGe6_JY_1olB1XN4rF0dxEuIIF-xsYjHgg/edit?usp=sharing"",""งบกองทุน!dr79"")"),10)</f>
        <v>10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IFERROR(__xludf.DUMMYFUNCTION("IMPORTRANGE(""https://docs.google.com/spreadsheets/d/1C3CXT74ZlgGe6_JY_1olB1XN4rF0dxEuIIF-xsYjHgg/edit?usp=sharing"",""งบกองทุน!dt79"")"),0)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66"/>
      <c r="K448" s="232"/>
      <c r="L448" s="52">
        <f ca="1">IFERROR(__xludf.DUMMYFUNCTION("IMPORTRANGE(""https://docs.google.com/spreadsheets/d/1C3CXT74ZlgGe6_JY_1olB1XN4rF0dxEuIIF-xsYjHgg/edit?usp=sharing"",""งบกองทุน!du79"")"),0)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IFERROR(__xludf.DUMMYFUNCTION("IMPORTRANGE(""https://docs.google.com/spreadsheets/d/1C3CXT74ZlgGe6_JY_1olB1XN4rF0dxEuIIF-xsYjHgg/edit?usp=sharing"",""งบกองทุน!dw79"")"),0)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IFERROR(__xludf.DUMMYFUNCTION("IMPORTRANGE(""https://docs.google.com/spreadsheets/d/1C3CXT74ZlgGe6_JY_1olB1XN4rF0dxEuIIF-xsYjHgg/edit?usp=sharing"",""งบกองทุน!dx79"")"),0)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IFERROR(__xludf.DUMMYFUNCTION("IMPORTRANGE(""https://docs.google.com/spreadsheets/d/1C3CXT74ZlgGe6_JY_1olB1XN4rF0dxEuIIF-xsYjHgg/edit?usp=sharing"",""งบกองทุน!dy79"")"),0)</f>
        <v>0</v>
      </c>
      <c r="J455" s="66">
        <v>0</v>
      </c>
      <c r="K455" s="232">
        <f t="shared" ca="1" si="100"/>
        <v>0</v>
      </c>
      <c r="L455" s="52"/>
      <c r="M455" s="52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IFERROR(__xludf.DUMMYFUNCTION("IMPORTRANGE(""https://docs.google.com/spreadsheets/d/1C3CXT74ZlgGe6_JY_1olB1XN4rF0dxEuIIF-xsYjHgg/edit?usp=sharing"",""งบกองทุน!dz79"")"),0)</f>
        <v>0</v>
      </c>
      <c r="J456" s="66">
        <v>0</v>
      </c>
      <c r="K456" s="48">
        <f t="shared" ca="1" si="100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20</v>
      </c>
      <c r="J457" s="226">
        <f>+J466</f>
        <v>0</v>
      </c>
      <c r="K457" s="227">
        <f t="shared" ca="1" si="100"/>
        <v>0</v>
      </c>
      <c r="L457" s="228">
        <f t="shared" ref="L457:M457" ca="1" si="101">SUM(L458:L459)</f>
        <v>117840</v>
      </c>
      <c r="M457" s="228">
        <f t="shared" si="101"/>
        <v>0</v>
      </c>
      <c r="N457" s="228">
        <f t="shared" ref="N457:N461" ca="1" si="102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117840</v>
      </c>
      <c r="M459" s="52">
        <f t="shared" si="103"/>
        <v>0</v>
      </c>
      <c r="N459" s="52">
        <f t="shared" ca="1" si="102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IFERROR(__xludf.DUMMYFUNCTION("IMPORTRANGE(""https://docs.google.com/spreadsheets/d/1C3CXT74ZlgGe6_JY_1olB1XN4rF0dxEuIIF-xsYjHgg/edit?usp=sharing"",""งบกองทุน!Eb79"")"),0)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IFERROR(__xludf.DUMMYFUNCTION("IMPORTRANGE(""https://docs.google.com/spreadsheets/d/1C3CXT74ZlgGe6_JY_1olB1XN4rF0dxEuIIF-xsYjHgg/edit?usp=sharing"",""งบกองทุน!Ec79"")"),117840)</f>
        <v>117840</v>
      </c>
      <c r="M461" s="52">
        <f>SUM(M462:M465)</f>
        <v>0</v>
      </c>
      <c r="N461" s="52">
        <f t="shared" ca="1" si="102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IFERROR(__xludf.DUMMYFUNCTION("IMPORTRANGE(""https://docs.google.com/spreadsheets/d/1C3CXT74ZlgGe6_JY_1olB1XN4rF0dxEuIIF-xsYjHgg/edit?usp=sharing"",""งบกองทุน!Ed79"")"),20)</f>
        <v>20</v>
      </c>
      <c r="J466" s="265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0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0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IFERROR(__xludf.DUMMYFUNCTION("IMPORTRANGE(""https://docs.google.com/spreadsheets/d/1C3CXT74ZlgGe6_JY_1olB1XN4rF0dxEuIIF-xsYjHgg/edit?usp=sharing"",""งบกองทุน!Ek79"")"),0)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IFERROR(__xludf.DUMMYFUNCTION("IMPORTRANGE(""https://docs.google.com/spreadsheets/d/1C3CXT74ZlgGe6_JY_1olB1XN4rF0dxEuIIF-xsYjHgg/edit?usp=sharing"",""งบกองทุน!El79"")"),0)</f>
        <v>0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IFERROR(__xludf.DUMMYFUNCTION("IMPORTRANGE(""https://docs.google.com/spreadsheets/d/1C3CXT74ZlgGe6_JY_1olB1XN4rF0dxEuIIF-xsYjHgg/edit?usp=sharing"",""งบกองทุน!Em79"")"),0)</f>
        <v>0</v>
      </c>
      <c r="J482" s="66">
        <f ca="1">IFERROR(__xludf.DUMMYFUNCTION("IMPORTRANGE(""https://docs.google.com/spreadsheets/d/1AGHcLOeeYFL3K4b9R1dSzyJy00PE_ra89DNTVfnxSWM/edit?usp=sharing"",""รวมที่ชุมชน!G68"")"),0)</f>
        <v>0</v>
      </c>
      <c r="K482" s="48">
        <f t="shared" ref="K482:K489" ca="1" si="107">IF(I482&gt;0,J482*100/I482,0)</f>
        <v>0</v>
      </c>
      <c r="L482" s="60"/>
      <c r="M482" s="52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IFERROR(__xludf.DUMMYFUNCTION("IMPORTRANGE(""https://docs.google.com/spreadsheets/d/1C3CXT74ZlgGe6_JY_1olB1XN4rF0dxEuIIF-xsYjHgg/edit?usp=sharing"",""งบกองทุน!En79"")"),0)</f>
        <v>0</v>
      </c>
      <c r="J483" s="66">
        <f ca="1">IFERROR(__xludf.DUMMYFUNCTION("IMPORTRANGE(""https://docs.google.com/spreadsheets/d/1AGHcLOeeYFL3K4b9R1dSzyJy00PE_ra89DNTVfnxSWM/edit?usp=sharing"",""รวมที่ชุมชน!H68"")"),0)</f>
        <v>0</v>
      </c>
      <c r="K483" s="200">
        <f t="shared" ca="1" si="107"/>
        <v>0</v>
      </c>
      <c r="L483" s="60"/>
      <c r="M483" s="60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IFERROR(__xludf.DUMMYFUNCTION("IMPORTRANGE(""https://docs.google.com/spreadsheets/d/1C3CXT74ZlgGe6_JY_1olB1XN4rF0dxEuIIF-xsYjHgg/edit?usp=sharing"",""งบกองทุน!Eo79"")"),0)</f>
        <v>0</v>
      </c>
      <c r="J484" s="66">
        <f ca="1">IFERROR(__xludf.DUMMYFUNCTION("IMPORTRANGE(""https://docs.google.com/spreadsheets/d/1AGHcLOeeYFL3K4b9R1dSzyJy00PE_ra89DNTVfnxSWM/edit?usp=sharing"",""รวมที่ชุมชน!J68"")"),0)</f>
        <v>0</v>
      </c>
      <c r="K484" s="48">
        <f t="shared" ca="1" si="107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IFERROR(__xludf.DUMMYFUNCTION("IMPORTRANGE(""https://docs.google.com/spreadsheets/d/1C3CXT74ZlgGe6_JY_1olB1XN4rF0dxEuIIF-xsYjHgg/edit?usp=sharing"",""งบกองทุน!Ep79"")"),0)</f>
        <v>0</v>
      </c>
      <c r="J485" s="66">
        <f ca="1">IFERROR(__xludf.DUMMYFUNCTION("IMPORTRANGE(""https://docs.google.com/spreadsheets/d/1AGHcLOeeYFL3K4b9R1dSzyJy00PE_ra89DNTVfnxSWM/edit?usp=sharing"",""รวมที่ชุมชน!L68"")"),0)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IFERROR(__xludf.DUMMYFUNCTION("IMPORTRANGE(""https://docs.google.com/spreadsheets/d/1C3CXT74ZlgGe6_JY_1olB1XN4rF0dxEuIIF-xsYjHgg/edit?usp=sharing"",""งบกองทุน!Eq79"")"),0)</f>
        <v>0</v>
      </c>
      <c r="J486" s="66">
        <f ca="1">IFERROR(__xludf.DUMMYFUNCTION("IMPORTRANGE(""https://docs.google.com/spreadsheets/d/1AGHcLOeeYFL3K4b9R1dSzyJy00PE_ra89DNTVfnxSWM/edit?usp=sharing"",""รวมที่ชุมชน!S68"")"),0)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IFERROR(__xludf.DUMMYFUNCTION("IMPORTRANGE(""https://docs.google.com/spreadsheets/d/1C3CXT74ZlgGe6_JY_1olB1XN4rF0dxEuIIF-xsYjHgg/edit?usp=sharing"",""งบกองทุน!Er79"")"),0)</f>
        <v>0</v>
      </c>
      <c r="J487" s="66">
        <f ca="1">IFERROR(__xludf.DUMMYFUNCTION("IMPORTRANGE(""https://docs.google.com/spreadsheets/d/1AGHcLOeeYFL3K4b9R1dSzyJy00PE_ra89DNTVfnxSWM/edit?usp=sharing"",""รวมที่ชุมชน!U68"")"),0)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IFERROR(__xludf.DUMMYFUNCTION("IMPORTRANGE(""https://docs.google.com/spreadsheets/d/1C3CXT74ZlgGe6_JY_1olB1XN4rF0dxEuIIF-xsYjHgg/edit?usp=sharing"",""งบกองทุน!Es79"")"),0)</f>
        <v>0</v>
      </c>
      <c r="J488" s="66">
        <f ca="1">IFERROR(__xludf.DUMMYFUNCTION("IMPORTRANGE(""https://docs.google.com/spreadsheets/d/1AGHcLOeeYFL3K4b9R1dSzyJy00PE_ra89DNTVfnxSWM/edit?usp=sharing"",""รวมที่ชุมชน!V68"")"),0)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IFERROR(__xludf.DUMMYFUNCTION("IMPORTRANGE(""https://docs.google.com/spreadsheets/d/1C3CXT74ZlgGe6_JY_1olB1XN4rF0dxEuIIF-xsYjHgg/edit?usp=sharing"",""งบกองทุน!Et79"")"),0)</f>
        <v>0</v>
      </c>
      <c r="J489" s="111">
        <f ca="1">IFERROR(__xludf.DUMMYFUNCTION("IMPORTRANGE(""https://docs.google.com/spreadsheets/d/1AGHcLOeeYFL3K4b9R1dSzyJy00PE_ra89DNTVfnxSWM/edit?usp=sharing"",""รวมที่ชุมชน!X68"")"),0)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80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10800</v>
      </c>
      <c r="M490" s="259">
        <f>SUM(M491:M492)</f>
        <v>0</v>
      </c>
      <c r="N490" s="259">
        <f t="shared" ref="N490:N494" ca="1" si="109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10800</v>
      </c>
      <c r="M492" s="52">
        <f t="shared" si="110"/>
        <v>0</v>
      </c>
      <c r="N492" s="52">
        <f t="shared" ca="1" si="109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IFERROR(__xludf.DUMMYFUNCTION("IMPORTRANGE(""https://docs.google.com/spreadsheets/d/1C3CXT74ZlgGe6_JY_1olB1XN4rF0dxEuIIF-xsYjHgg/edit?usp=sharing"",""งบกองทุน!Ev79"")"),0)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IFERROR(__xludf.DUMMYFUNCTION("IMPORTRANGE(""https://docs.google.com/spreadsheets/d/1C3CXT74ZlgGe6_JY_1olB1XN4rF0dxEuIIF-xsYjHgg/edit?usp=sharing"",""งบกองทุน!Ew79"")"),10800)</f>
        <v>10800</v>
      </c>
      <c r="M494" s="52">
        <f>SUM(M495:M498)</f>
        <v>0</v>
      </c>
      <c r="N494" s="52">
        <f t="shared" ca="1" si="109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IFERROR(__xludf.DUMMYFUNCTION("IMPORTRANGE(""https://docs.google.com/spreadsheets/d/1C3CXT74ZlgGe6_JY_1olB1XN4rF0dxEuIIF-xsYjHgg/edit?usp=sharing"",""งบกองทุน!EZ79"")"),80)</f>
        <v>80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IFERROR(__xludf.DUMMYFUNCTION("IMPORTRANGE(""https://docs.google.com/spreadsheets/d/1C3CXT74ZlgGe6_JY_1olB1XN4rF0dxEuIIF-xsYjHgg/edit?usp=sharing"",""งบกองทุน!ff79"")"),293)</f>
        <v>293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IFERROR(__xludf.DUMMYFUNCTION("IMPORTRANGE(""https://docs.google.com/spreadsheets/d/1muirlRDkqiswvy_NRZ3Yh955hx-PF6_HhssUYiSJj8o/edit?usp=sharing"",""กองทุน!D79"")"),510000)</f>
        <v>510000</v>
      </c>
      <c r="J521" s="199">
        <f ca="1">IFERROR(__xludf.DUMMYFUNCTION("IMPORTRANGE(""https://docs.google.com/spreadsheets/d/1muirlRDkqiswvy_NRZ3Yh955hx-PF6_HhssUYiSJj8o/edit?usp=sharing"",""กองทุน!F79"")"),0)</f>
        <v>0</v>
      </c>
      <c r="K521" s="200">
        <f t="shared" ref="K521:K528" ca="1" si="116">IF(I521&gt;0,J521*100/I521,0)</f>
        <v>0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IFERROR(__xludf.DUMMYFUNCTION("IMPORTRANGE(""https://docs.google.com/spreadsheets/d/1muirlRDkqiswvy_NRZ3Yh955hx-PF6_HhssUYiSJj8o/edit?usp=sharing"",""กองทุน!C79"")"),18)</f>
        <v>18</v>
      </c>
      <c r="J522" s="199">
        <f ca="1">IFERROR(__xludf.DUMMYFUNCTION("IMPORTRANGE(""https://docs.google.com/spreadsheets/d/1muirlRDkqiswvy_NRZ3Yh955hx-PF6_HhssUYiSJj8o/edit?usp=sharing"",""กองทุน!E79"")"),0)</f>
        <v>0</v>
      </c>
      <c r="K522" s="200">
        <f t="shared" ca="1" si="116"/>
        <v>0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IFERROR(__xludf.DUMMYFUNCTION("IMPORTRANGE(""https://docs.google.com/spreadsheets/d/1muirlRDkqiswvy_NRZ3Yh955hx-PF6_HhssUYiSJj8o/edit?usp=sharing"",""กองทุน!I79"")"),169583.93)</f>
        <v>169583.93</v>
      </c>
      <c r="J523" s="199">
        <f ca="1">IFERROR(__xludf.DUMMYFUNCTION("IMPORTRANGE(""https://docs.google.com/spreadsheets/d/1muirlRDkqiswvy_NRZ3Yh955hx-PF6_HhssUYiSJj8o/edit?usp=sharing"",""กองทุน!K79"")"),0)</f>
        <v>0</v>
      </c>
      <c r="K523" s="200">
        <f t="shared" ca="1" si="116"/>
        <v>0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IFERROR(__xludf.DUMMYFUNCTION("IMPORTRANGE(""https://docs.google.com/spreadsheets/d/1muirlRDkqiswvy_NRZ3Yh955hx-PF6_HhssUYiSJj8o/edit?usp=sharing"",""กองทุน!H79"")"),6)</f>
        <v>6</v>
      </c>
      <c r="J524" s="199">
        <f ca="1">IFERROR(__xludf.DUMMYFUNCTION("IMPORTRANGE(""https://docs.google.com/spreadsheets/d/1muirlRDkqiswvy_NRZ3Yh955hx-PF6_HhssUYiSJj8o/edit?usp=sharing"",""กองทุน!J79"")"),0)</f>
        <v>0</v>
      </c>
      <c r="K524" s="200">
        <f t="shared" ca="1" si="116"/>
        <v>0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IFERROR(__xludf.DUMMYFUNCTION("IMPORTRANGE(""https://docs.google.com/spreadsheets/d/1muirlRDkqiswvy_NRZ3Yh955hx-PF6_HhssUYiSJj8o/edit?usp=sharing"",""กองทุน!N79"")"),0)</f>
        <v>0</v>
      </c>
      <c r="J525" s="199">
        <f ca="1">IFERROR(__xludf.DUMMYFUNCTION("IMPORTRANGE(""https://docs.google.com/spreadsheets/d/1muirlRDkqiswvy_NRZ3Yh955hx-PF6_HhssUYiSJj8o/edit?usp=sharing"",""กองทุน!P79"")"),0)</f>
        <v>0</v>
      </c>
      <c r="K525" s="200">
        <f t="shared" ca="1" si="116"/>
        <v>0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IFERROR(__xludf.DUMMYFUNCTION("IMPORTRANGE(""https://docs.google.com/spreadsheets/d/1muirlRDkqiswvy_NRZ3Yh955hx-PF6_HhssUYiSJj8o/edit?usp=sharing"",""กองทุน!M79"")"),0)</f>
        <v>0</v>
      </c>
      <c r="J526" s="199">
        <f ca="1">IFERROR(__xludf.DUMMYFUNCTION("IMPORTRANGE(""https://docs.google.com/spreadsheets/d/1muirlRDkqiswvy_NRZ3Yh955hx-PF6_HhssUYiSJj8o/edit?usp=sharing"",""กองทุน!O79"")"),0)</f>
        <v>0</v>
      </c>
      <c r="K526" s="200">
        <f t="shared" ca="1" si="116"/>
        <v>0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IFERROR(__xludf.DUMMYFUNCTION("IMPORTRANGE(""https://docs.google.com/spreadsheets/d/1muirlRDkqiswvy_NRZ3Yh955hx-PF6_HhssUYiSJj8o/edit?usp=sharing"",""กองทุน!S79"")"),900000)</f>
        <v>900000</v>
      </c>
      <c r="J527" s="199">
        <f ca="1">IFERROR(__xludf.DUMMYFUNCTION("IMPORTRANGE(""https://docs.google.com/spreadsheets/d/1muirlRDkqiswvy_NRZ3Yh955hx-PF6_HhssUYiSJj8o/edit?usp=sharing"",""กองทุน!U79"")"),0)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IFERROR(__xludf.DUMMYFUNCTION("IMPORTRANGE(""https://docs.google.com/spreadsheets/d/1muirlRDkqiswvy_NRZ3Yh955hx-PF6_HhssUYiSJj8o/edit?usp=sharing"",""กองทุน!R79"")"),30)</f>
        <v>30</v>
      </c>
      <c r="J528" s="324">
        <f ca="1">IFERROR(__xludf.DUMMYFUNCTION("IMPORTRANGE(""https://docs.google.com/spreadsheets/d/1muirlRDkqiswvy_NRZ3Yh955hx-PF6_HhssUYiSJj8o/edit?usp=sharing"",""กองทุน!T79"")"),0)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A5" sqref="A5:G5"/>
      <selection pane="bottomLeft" activeCell="A5" sqref="A5:G5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68" t="s">
        <v>0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</row>
    <row r="2" spans="1:14" ht="18" customHeight="1" x14ac:dyDescent="0.55000000000000004">
      <c r="A2" s="368" t="s">
        <v>220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</row>
    <row r="3" spans="1:14" ht="18" customHeight="1" x14ac:dyDescent="0.55000000000000004">
      <c r="A3" s="368" t="s">
        <v>247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70" t="s">
        <v>4</v>
      </c>
      <c r="B5" s="371"/>
      <c r="C5" s="371"/>
      <c r="D5" s="371"/>
      <c r="E5" s="371"/>
      <c r="F5" s="371"/>
      <c r="G5" s="372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1924345</v>
      </c>
      <c r="M6" s="16">
        <f t="shared" si="0"/>
        <v>122221</v>
      </c>
      <c r="N6" s="17">
        <f ca="1">IF(L6&gt;0,M6*100/L6,0)</f>
        <v>6.3513039501752546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713200</v>
      </c>
      <c r="M9" s="40">
        <f>SUM(M11:M12)</f>
        <v>14853</v>
      </c>
      <c r="N9" s="39">
        <f ca="1">IF(L9&gt;0,M9*100/L9,0)</f>
        <v>2.0825855300056086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60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IFERROR(__xludf.DUMMYFUNCTION("IMPORTRANGE(""https://docs.google.com/spreadsheets/d/1C3CXT74ZlgGe6_JY_1olB1XN4rF0dxEuIIF-xsYjHgg/edit?usp=sharing"",""พรบ!C60"")"),713200)</f>
        <v>713200</v>
      </c>
      <c r="M12" s="49">
        <f>SUM(M13:M14)</f>
        <v>14853</v>
      </c>
      <c r="N12" s="49">
        <f t="shared" ca="1" si="4"/>
        <v>2.0825855300056086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47"/>
      <c r="K13" s="48"/>
      <c r="L13" s="52">
        <f ca="1">IFERROR(__xludf.DUMMYFUNCTION("IMPORTRANGE(""https://docs.google.com/spreadsheets/d/1C3CXT74ZlgGe6_JY_1olB1XN4rF0dxEuIIF-xsYjHgg/edit?usp=sharing"",""พรบ!D60"")"),175200)</f>
        <v>175200</v>
      </c>
      <c r="M13" s="53">
        <v>7880</v>
      </c>
      <c r="N13" s="52">
        <f t="shared" ca="1" si="4"/>
        <v>4.4977168949771693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47"/>
      <c r="K14" s="48"/>
      <c r="L14" s="52">
        <f ca="1">IFERROR(__xludf.DUMMYFUNCTION("IMPORTRANGE(""https://docs.google.com/spreadsheets/d/1C3CXT74ZlgGe6_JY_1olB1XN4rF0dxEuIIF-xsYjHgg/edit?usp=sharing"",""พรบ!E60"")"),538000)</f>
        <v>538000</v>
      </c>
      <c r="M14" s="53">
        <v>6973</v>
      </c>
      <c r="N14" s="52">
        <f t="shared" ca="1" si="4"/>
        <v>1.2960966542750929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v>1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v>0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7">
        <v>0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7">
        <v>0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1</v>
      </c>
      <c r="J20" s="78">
        <f t="shared" si="5"/>
        <v>0</v>
      </c>
      <c r="K20" s="79">
        <f t="shared" ref="K20:K28" ca="1" si="6">IF(I20&gt;0,J20*100/I20,0)</f>
        <v>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60</v>
      </c>
      <c r="J21" s="78">
        <f t="shared" si="7"/>
        <v>0</v>
      </c>
      <c r="K21" s="79">
        <f t="shared" ca="1" si="6"/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IFERROR(__xludf.DUMMYFUNCTION("IMPORTRANGE(""https://docs.google.com/spreadsheets/d/1C3CXT74ZlgGe6_JY_1olB1XN4rF0dxEuIIF-xsYjHgg/edit?usp=sharing"",""พรบ!H60"")"),0)</f>
        <v>0</v>
      </c>
      <c r="J22" s="66">
        <v>0</v>
      </c>
      <c r="K22" s="48">
        <f t="shared" ca="1" si="6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IFERROR(__xludf.DUMMYFUNCTION("IMPORTRANGE(""https://docs.google.com/spreadsheets/d/1C3CXT74ZlgGe6_JY_1olB1XN4rF0dxEuIIF-xsYjHgg/edit?usp=sharing"",""พรบ!I60"")"),0)</f>
        <v>0</v>
      </c>
      <c r="J23" s="66">
        <v>0</v>
      </c>
      <c r="K23" s="48">
        <f t="shared" ca="1" si="6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IFERROR(__xludf.DUMMYFUNCTION("IMPORTRANGE(""https://docs.google.com/spreadsheets/d/1C3CXT74ZlgGe6_JY_1olB1XN4rF0dxEuIIF-xsYjHgg/edit?usp=sharing"",""พรบ!J60"")"),0)</f>
        <v>0</v>
      </c>
      <c r="J24" s="66">
        <v>0</v>
      </c>
      <c r="K24" s="48">
        <f t="shared" ca="1" si="6"/>
        <v>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IFERROR(__xludf.DUMMYFUNCTION("IMPORTRANGE(""https://docs.google.com/spreadsheets/d/1C3CXT74ZlgGe6_JY_1olB1XN4rF0dxEuIIF-xsYjHgg/edit?usp=sharing"",""พรบ!K60"")"),0)</f>
        <v>0</v>
      </c>
      <c r="J25" s="66">
        <v>0</v>
      </c>
      <c r="K25" s="48">
        <f t="shared" ca="1" si="6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IFERROR(__xludf.DUMMYFUNCTION("IMPORTRANGE(""https://docs.google.com/spreadsheets/d/1C3CXT74ZlgGe6_JY_1olB1XN4rF0dxEuIIF-xsYjHgg/edit?usp=sharing"",""พรบ!L60"")"),1)</f>
        <v>1</v>
      </c>
      <c r="J26" s="67">
        <v>0</v>
      </c>
      <c r="K26" s="48">
        <f t="shared" ca="1" si="6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IFERROR(__xludf.DUMMYFUNCTION("IMPORTRANGE(""https://docs.google.com/spreadsheets/d/1C3CXT74ZlgGe6_JY_1olB1XN4rF0dxEuIIF-xsYjHgg/edit?usp=sharing"",""พรบ!M60"")"),60)</f>
        <v>60</v>
      </c>
      <c r="J27" s="67">
        <v>0</v>
      </c>
      <c r="K27" s="48">
        <f t="shared" ca="1" si="6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IFERROR(__xludf.DUMMYFUNCTION("IMPORTRANGE(""https://docs.google.com/spreadsheets/d/1C3CXT74ZlgGe6_JY_1olB1XN4rF0dxEuIIF-xsYjHgg/edit?usp=sharing"",""พรบ!N60"")"),0)</f>
        <v>0</v>
      </c>
      <c r="J28" s="66">
        <v>0</v>
      </c>
      <c r="K28" s="48">
        <f t="shared" ca="1" si="6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7"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IFERROR(__xludf.DUMMYFUNCTION("IMPORTRANGE(""https://docs.google.com/spreadsheets/d/1C3CXT74ZlgGe6_JY_1olB1XN4rF0dxEuIIF-xsYjHgg/edit?usp=sharing"",""พรบ!O60"")"),0)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IFERROR(__xludf.DUMMYFUNCTION("IMPORTRANGE(""https://docs.google.com/spreadsheets/d/1C3CXT74ZlgGe6_JY_1olB1XN4rF0dxEuIIF-xsYjHgg/edit?usp=sharing"",""พรบ!P60"")"),0)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IFERROR(__xludf.DUMMYFUNCTION("IMPORTRANGE(""https://docs.google.com/spreadsheets/d/1C3CXT74ZlgGe6_JY_1olB1XN4rF0dxEuIIF-xsYjHgg/edit?usp=sharing"",""พรบ!Q60"")"),0)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IFERROR(__xludf.DUMMYFUNCTION("IMPORTRANGE(""https://docs.google.com/spreadsheets/d/1C3CXT74ZlgGe6_JY_1olB1XN4rF0dxEuIIF-xsYjHgg/edit?usp=sharing"",""พรบ!R60"")"),0)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IFERROR(__xludf.DUMMYFUNCTION("IMPORTRANGE(""https://docs.google.com/spreadsheets/d/1C3CXT74ZlgGe6_JY_1olB1XN4rF0dxEuIIF-xsYjHgg/edit?usp=sharing"",""พรบ!S60"")"),0)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IFERROR(__xludf.DUMMYFUNCTION("IMPORTRANGE(""https://docs.google.com/spreadsheets/d/1C3CXT74ZlgGe6_JY_1olB1XN4rF0dxEuIIF-xsYjHgg/edit?usp=sharing"",""พรบ!T60"")"),0)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IFERROR(__xludf.DUMMYFUNCTION("IMPORTRANGE(""https://docs.google.com/spreadsheets/d/1C3CXT74ZlgGe6_JY_1olB1XN4rF0dxEuIIF-xsYjHgg/edit?usp=sharing"",""พรบ!U60"")"),0)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IFERROR(__xludf.DUMMYFUNCTION("IMPORTRANGE(""https://docs.google.com/spreadsheets/d/1C3CXT74ZlgGe6_JY_1olB1XN4rF0dxEuIIF-xsYjHgg/edit?usp=sharing"",""พรบ!V60"")"),0)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IFERROR(__xludf.DUMMYFUNCTION("IMPORTRANGE(""https://docs.google.com/spreadsheets/d/1C3CXT74ZlgGe6_JY_1olB1XN4rF0dxEuIIF-xsYjHgg/edit?usp=sharing"",""พรบ!W60"")"),0)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6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IFERROR(__xludf.DUMMYFUNCTION("IMPORTRANGE(""https://docs.google.com/spreadsheets/d/1C3CXT74ZlgGe6_JY_1olB1XN4rF0dxEuIIF-xsYjHgg/edit?usp=sharing"",""พรบ!Y60"")"),0)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IFERROR(__xludf.DUMMYFUNCTION("IMPORTRANGE(""https://docs.google.com/spreadsheets/d/1C3CXT74ZlgGe6_JY_1olB1XN4rF0dxEuIIF-xsYjHgg/edit?usp=sharing"",""พรบ!Z60"")"),0)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246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IFERROR(__xludf.DUMMYFUNCTION("IMPORTRANGE(""https://docs.google.com/spreadsheets/d/1C3CXT74ZlgGe6_JY_1olB1XN4rF0dxEuIIF-xsYjHgg/edit?usp=sharing"",""พรบ!AA60"")"),0)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7">
        <v>0</v>
      </c>
      <c r="K65" s="358"/>
      <c r="L65" s="359"/>
      <c r="M65" s="359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20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255400</v>
      </c>
      <c r="M68" s="138">
        <f t="shared" si="16"/>
        <v>39700</v>
      </c>
      <c r="N68" s="137">
        <f ca="1">IF(L68&gt;0,M68*100/L68,0)</f>
        <v>15.544244322631167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255400</v>
      </c>
      <c r="M71" s="139">
        <f>SUM(M72:M73)</f>
        <v>39700</v>
      </c>
      <c r="N71" s="49">
        <f t="shared" ca="1" si="17"/>
        <v>15.544244322631167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IFERROR(__xludf.DUMMYFUNCTION("IMPORTRANGE(""https://docs.google.com/spreadsheets/d/1C3CXT74ZlgGe6_JY_1olB1XN4rF0dxEuIIF-xsYjHgg/edit?usp=sharing"",""พรบ!AD60"")"),132000)</f>
        <v>132000</v>
      </c>
      <c r="M72" s="53">
        <v>39700</v>
      </c>
      <c r="N72" s="52">
        <f t="shared" ca="1" si="17"/>
        <v>30.075757575757574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123400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IFERROR(__xludf.DUMMYFUNCTION("IMPORTRANGE(""https://docs.google.com/spreadsheets/d/1C3CXT74ZlgGe6_JY_1olB1XN4rF0dxEuIIF-xsYjHgg/edit?usp=sharing"",""พรบ!AF60"")"),7500)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1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IFERROR(__xludf.DUMMYFUNCTION("IMPORTRANGE(""https://docs.google.com/spreadsheets/d/1C3CXT74ZlgGe6_JY_1olB1XN4rF0dxEuIIF-xsYjHgg/edit?usp=sharing"",""พรบ!AG60"")"),4)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2</v>
      </c>
      <c r="J89" s="149">
        <f t="shared" si="21"/>
        <v>0</v>
      </c>
      <c r="K89" s="150">
        <f ca="1">IF(I89&gt;0,J89*100/I89,0)</f>
        <v>0</v>
      </c>
      <c r="L89" s="147">
        <f ca="1">L90+L91</f>
        <v>28000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28000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IFERROR(__xludf.DUMMYFUNCTION("IMPORTRANGE(""https://docs.google.com/spreadsheets/d/1C3CXT74ZlgGe6_JY_1olB1XN4rF0dxEuIIF-xsYjHgg/edit?usp=sharing"",""พรบ!AH60"")"),28000)</f>
        <v>28000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1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IFERROR(__xludf.DUMMYFUNCTION("IMPORTRANGE(""https://docs.google.com/spreadsheets/d/1C3CXT74ZlgGe6_JY_1olB1XN4rF0dxEuIIF-xsYjHgg/edit?usp=sharing"",""พรบ!AI60"")"),2)</f>
        <v>2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IFERROR(__xludf.DUMMYFUNCTION("IMPORTRANGE(""https://docs.google.com/spreadsheets/d/1C3CXT74ZlgGe6_JY_1olB1XN4rF0dxEuIIF-xsYjHgg/edit?usp=sharing"",""กปร!C60"")"),24000)</f>
        <v>24000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1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15000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15000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47"/>
      <c r="K104" s="48"/>
      <c r="L104" s="52">
        <f ca="1">IFERROR(__xludf.DUMMYFUNCTION("IMPORTRANGE(""https://docs.google.com/spreadsheets/d/1C3CXT74ZlgGe6_JY_1olB1XN4rF0dxEuIIF-xsYjHgg/edit?usp=sharing"",""พรบ!AJ60"")"),15000)</f>
        <v>15000</v>
      </c>
      <c r="M104" s="53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47"/>
      <c r="K105" s="48"/>
      <c r="L105" s="60"/>
      <c r="M105" s="60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7">
        <v>1</v>
      </c>
      <c r="K106" s="48"/>
      <c r="L106" s="60"/>
      <c r="M106" s="60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7">
        <v>0</v>
      </c>
      <c r="K107" s="48"/>
      <c r="L107" s="60" t="s">
        <v>21</v>
      </c>
      <c r="M107" s="60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7">
        <v>0</v>
      </c>
      <c r="K108" s="48"/>
      <c r="L108" s="60"/>
      <c r="M108" s="60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7">
        <v>0</v>
      </c>
      <c r="K109" s="48"/>
      <c r="L109" s="60"/>
      <c r="M109" s="60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IFERROR(__xludf.DUMMYFUNCTION("IMPORTRANGE(""https://docs.google.com/spreadsheets/d/1C3CXT74ZlgGe6_JY_1olB1XN4rF0dxEuIIF-xsYjHgg/edit?usp=sharing"",""พรบ!AK60"")"),1)</f>
        <v>1</v>
      </c>
      <c r="J110" s="67">
        <v>0</v>
      </c>
      <c r="K110" s="48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IFERROR(__xludf.DUMMYFUNCTION("IMPORTRANGE(""https://docs.google.com/spreadsheets/d/1C3CXT74ZlgGe6_JY_1olB1XN4rF0dxEuIIF-xsYjHgg/edit?usp=sharing"",""กปร!D60"")"),5000)</f>
        <v>5000</v>
      </c>
      <c r="M110" s="361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IFERROR(__xludf.DUMMYFUNCTION("IMPORTRANGE(""https://docs.google.com/spreadsheets/d/1C3CXT74ZlgGe6_JY_1olB1XN4rF0dxEuIIF-xsYjHgg/edit?usp=sharing"",""พรบ!AL60"")"),1)</f>
        <v>1</v>
      </c>
      <c r="J111" s="67">
        <v>0</v>
      </c>
      <c r="K111" s="48">
        <f t="shared" ca="1" si="26"/>
        <v>0</v>
      </c>
      <c r="L111" s="52">
        <f ca="1">IFERROR(__xludf.DUMMYFUNCTION("IMPORTRANGE(""https://docs.google.com/spreadsheets/d/1C3CXT74ZlgGe6_JY_1olB1XN4rF0dxEuIIF-xsYjHgg/edit?usp=sharing"",""กปร!E60"")"),8000)</f>
        <v>8000</v>
      </c>
      <c r="M111" s="361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7">
        <v>0</v>
      </c>
      <c r="K112" s="48"/>
      <c r="L112" s="60"/>
      <c r="M112" s="60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84">
        <v>0</v>
      </c>
      <c r="K113" s="48"/>
      <c r="L113" s="60"/>
      <c r="M113" s="60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12800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8100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8100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IFERROR(__xludf.DUMMYFUNCTION("IMPORTRANGE(""https://docs.google.com/spreadsheets/d/1C3CXT74ZlgGe6_JY_1olB1XN4rF0dxEuIIF-xsYjHgg/edit?usp=sharing"",""พรบ!AM60"")"),8100)</f>
        <v>8100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1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IFERROR(__xludf.DUMMYFUNCTION("IMPORTRANGE(""https://docs.google.com/spreadsheets/d/1C3CXT74ZlgGe6_JY_1olB1XN4rF0dxEuIIF-xsYjHgg/edit?usp=sharing"",""พรบ!AO60"")"),12800)</f>
        <v>12800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IFERROR(__xludf.DUMMYFUNCTION("IMPORTRANGE(""https://docs.google.com/spreadsheets/d/1C3CXT74ZlgGe6_JY_1olB1XN4rF0dxEuIIF-xsYjHgg/edit?usp=sharing"",""พรบ!AP60"")"),12800)</f>
        <v>12800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IFERROR(__xludf.DUMMYFUNCTION("IMPORTRANGE(""https://docs.google.com/spreadsheets/d/1C3CXT74ZlgGe6_JY_1olB1XN4rF0dxEuIIF-xsYjHgg/edit?usp=sharing"",""กปร!F60"")"),4100)</f>
        <v>4100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IFERROR(__xludf.DUMMYFUNCTION("IMPORTRANGE(""https://docs.google.com/spreadsheets/d/1C3CXT74ZlgGe6_JY_1olB1XN4rF0dxEuIIF-xsYjHgg/edit?usp=sharing"",""พรบ!AQ60"")"),0)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IFERROR(__xludf.DUMMYFUNCTION("IMPORTRANGE(""https://docs.google.com/spreadsheets/d/1C3CXT74ZlgGe6_JY_1olB1XN4rF0dxEuIIF-xsYjHgg/edit?usp=sharing"",""กปร!G60"")"),0)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221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20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64800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64800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47"/>
      <c r="K132" s="48"/>
      <c r="L132" s="52">
        <f ca="1">IFERROR(__xludf.DUMMYFUNCTION("IMPORTRANGE(""https://docs.google.com/spreadsheets/d/1C3CXT74ZlgGe6_JY_1olB1XN4rF0dxEuIIF-xsYjHgg/edit?usp=sharing"",""พรบ!AR60"")"),64800)</f>
        <v>64800</v>
      </c>
      <c r="M132" s="53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47"/>
      <c r="K133" s="48"/>
      <c r="L133" s="60"/>
      <c r="M133" s="60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7">
        <v>1</v>
      </c>
      <c r="K134" s="48"/>
      <c r="L134" s="60"/>
      <c r="M134" s="60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7">
        <v>0</v>
      </c>
      <c r="K135" s="48"/>
      <c r="L135" s="60" t="s">
        <v>21</v>
      </c>
      <c r="M135" s="60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7">
        <v>0</v>
      </c>
      <c r="K136" s="48"/>
      <c r="L136" s="60"/>
      <c r="M136" s="60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7">
        <v>0</v>
      </c>
      <c r="K137" s="48"/>
      <c r="L137" s="60"/>
      <c r="M137" s="60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IFERROR(__xludf.DUMMYFUNCTION("IMPORTRANGE(""https://docs.google.com/spreadsheets/d/1C3CXT74ZlgGe6_JY_1olB1XN4rF0dxEuIIF-xsYjHgg/edit?usp=sharing"",""พรบ!AS60"")"),20)</f>
        <v>20</v>
      </c>
      <c r="J138" s="67">
        <v>0</v>
      </c>
      <c r="K138" s="48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IFERROR(__xludf.DUMMYFUNCTION("IMPORTRANGE(""https://docs.google.com/spreadsheets/d/1C3CXT74ZlgGe6_JY_1olB1XN4rF0dxEuIIF-xsYjHgg/edit?usp=sharing"",""กปร!H60"")"),39800)</f>
        <v>39800</v>
      </c>
      <c r="M138" s="361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48"/>
      <c r="L139" s="60"/>
      <c r="M139" s="60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IFERROR(__xludf.DUMMYFUNCTION("IMPORTRANGE(""https://docs.google.com/spreadsheets/d/1C3CXT74ZlgGe6_JY_1olB1XN4rF0dxEuIIF-xsYjHgg/edit?usp=sharing"",""พรบ!AT60"")"),0)</f>
        <v>0</v>
      </c>
      <c r="J140" s="66">
        <v>0</v>
      </c>
      <c r="K140" s="48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IFERROR(__xludf.DUMMYFUNCTION("IMPORTRANGE(""https://docs.google.com/spreadsheets/d/1C3CXT74ZlgGe6_JY_1olB1XN4rF0dxEuIIF-xsYjHgg/edit?usp=sharing"",""กปร!I60"")"),0)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IFERROR(__xludf.DUMMYFUNCTION("IMPORTRANGE(""https://docs.google.com/spreadsheets/d/1C3CXT74ZlgGe6_JY_1olB1XN4rF0dxEuIIF-xsYjHgg/edit?usp=sharing"",""พรบ!AU60"")"),0)</f>
        <v>0</v>
      </c>
      <c r="J141" s="66">
        <v>0</v>
      </c>
      <c r="K141" s="48">
        <f t="shared" ca="1" si="34"/>
        <v>0</v>
      </c>
      <c r="L141" s="52">
        <f ca="1">IFERROR(__xludf.DUMMYFUNCTION("IMPORTRANGE(""https://docs.google.com/spreadsheets/d/1C3CXT74ZlgGe6_JY_1olB1XN4rF0dxEuIIF-xsYjHgg/edit?usp=sharing"",""กปร!J60"")"),0)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7">
        <v>0</v>
      </c>
      <c r="K142" s="48"/>
      <c r="L142" s="60"/>
      <c r="M142" s="60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112">
        <v>0</v>
      </c>
      <c r="K143" s="113"/>
      <c r="L143" s="114"/>
      <c r="M143" s="114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13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19295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19295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IFERROR(__xludf.DUMMYFUNCTION("IMPORTRANGE(""https://docs.google.com/spreadsheets/d/1C3CXT74ZlgGe6_JY_1olB1XN4rF0dxEuIIF-xsYjHgg/edit?usp=sharing"",""พรบ!AY60"")"),19295)</f>
        <v>19295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13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1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1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IFERROR(__xludf.DUMMYFUNCTION("IMPORTRANGE(""https://docs.google.com/spreadsheets/d/1C3CXT74ZlgGe6_JY_1olB1XN4rF0dxEuIIF-xsYjHgg/edit?usp=sharing"",""พรบ!BA60"")"),13)</f>
        <v>13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25</v>
      </c>
      <c r="J169" s="177">
        <f>+J180</f>
        <v>0</v>
      </c>
      <c r="K169" s="178">
        <f ca="1">IF(I169&gt;0,J169*100/I169,0)</f>
        <v>0</v>
      </c>
      <c r="L169" s="179">
        <f ca="1">L170+L171</f>
        <v>199000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199000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47"/>
      <c r="K172" s="48"/>
      <c r="L172" s="52">
        <f ca="1">IFERROR(__xludf.DUMMYFUNCTION("IMPORTRANGE(""https://docs.google.com/spreadsheets/d/1C3CXT74ZlgGe6_JY_1olB1XN4rF0dxEuIIF-xsYjHgg/edit?usp=sharing"",""พรบ!BD60"")"),0)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47"/>
      <c r="K173" s="48"/>
      <c r="L173" s="52">
        <f ca="1">IFERROR(__xludf.DUMMYFUNCTION("IMPORTRANGE(""https://docs.google.com/spreadsheets/d/1C3CXT74ZlgGe6_JY_1olB1XN4rF0dxEuIIF-xsYjHgg/edit?usp=sharing"",""พรบ!BE60"")"),199000)</f>
        <v>199000</v>
      </c>
      <c r="M173" s="53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v>0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v>1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v>1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v>1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IFERROR(__xludf.DUMMYFUNCTION("IMPORTRANGE(""https://docs.google.com/spreadsheets/d/1C3CXT74ZlgGe6_JY_1olB1XN4rF0dxEuIIF-xsYjHgg/edit?usp=sharing"",""พรบ!BF60"")"),1)</f>
        <v>1</v>
      </c>
      <c r="J179" s="67">
        <v>0</v>
      </c>
      <c r="K179" s="48">
        <f t="shared" ref="K179:K182" ca="1" si="41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IFERROR(__xludf.DUMMYFUNCTION("IMPORTRANGE(""https://docs.google.com/spreadsheets/d/1C3CXT74ZlgGe6_JY_1olB1XN4rF0dxEuIIF-xsYjHgg/edit?usp=sharing"",""พรบ!BG60"")"),25)</f>
        <v>25</v>
      </c>
      <c r="J180" s="67">
        <v>0</v>
      </c>
      <c r="K180" s="48">
        <f t="shared" ca="1" si="41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IFERROR(__xludf.DUMMYFUNCTION("IMPORTRANGE(""https://docs.google.com/spreadsheets/d/1C3CXT74ZlgGe6_JY_1olB1XN4rF0dxEuIIF-xsYjHgg/edit?usp=sharing"",""พรบ!BH60"")"),25)</f>
        <v>25</v>
      </c>
      <c r="J181" s="67">
        <v>0</v>
      </c>
      <c r="K181" s="48">
        <f t="shared" ca="1" si="41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IFERROR(__xludf.DUMMYFUNCTION("IMPORTRANGE(""https://docs.google.com/spreadsheets/d/1C3CXT74ZlgGe6_JY_1olB1XN4rF0dxEuIIF-xsYjHgg/edit?usp=sharing"",""พรบ!BI60"")"),1)</f>
        <v>1</v>
      </c>
      <c r="J182" s="67">
        <v>0</v>
      </c>
      <c r="K182" s="48">
        <f t="shared" ca="1" si="41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v>0</v>
      </c>
      <c r="K183" s="48"/>
      <c r="L183" s="60"/>
      <c r="M183" s="60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112">
        <v>0</v>
      </c>
      <c r="K184" s="113"/>
      <c r="L184" s="114"/>
      <c r="M184" s="114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15</v>
      </c>
      <c r="J185" s="177">
        <f>+J195</f>
        <v>0</v>
      </c>
      <c r="K185" s="178">
        <f ca="1">IF(I185&gt;0,J185*100/I185,0)</f>
        <v>0</v>
      </c>
      <c r="L185" s="179">
        <f ca="1">L186+L187</f>
        <v>55200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55200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IFERROR(__xludf.DUMMYFUNCTION("IMPORTRANGE(""https://docs.google.com/spreadsheets/d/1C3CXT74ZlgGe6_JY_1olB1XN4rF0dxEuIIF-xsYjHgg/edit?usp=sharing"",""พรบ!BK60"")"),0)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IFERROR(__xludf.DUMMYFUNCTION("IMPORTRANGE(""https://docs.google.com/spreadsheets/d/1C3CXT74ZlgGe6_JY_1olB1XN4rF0dxEuIIF-xsYjHgg/edit?usp=sharing"",""พรบ!BL60"")"),55200)</f>
        <v>55200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0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1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1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1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IFERROR(__xludf.DUMMYFUNCTION("IMPORTRANGE(""https://docs.google.com/spreadsheets/d/1C3CXT74ZlgGe6_JY_1olB1XN4rF0dxEuIIF-xsYjHgg/edit?usp=sharing"",""พรบ!BM60"")"),15)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IFERROR(__xludf.DUMMYFUNCTION("IMPORTRANGE(""https://docs.google.com/spreadsheets/d/1C3CXT74ZlgGe6_JY_1olB1XN4rF0dxEuIIF-xsYjHgg/edit?usp=sharing"",""พรบ!BP60"")"),0)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IFERROR(__xludf.DUMMYFUNCTION("IMPORTRANGE(""https://docs.google.com/spreadsheets/d/1C3CXT74ZlgGe6_JY_1olB1XN4rF0dxEuIIF-xsYjHgg/edit?usp=sharing"",""พรบ!BQ60"")"),0)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IFERROR(__xludf.DUMMYFUNCTION("IMPORTRANGE(""https://docs.google.com/spreadsheets/d/1C3CXT74ZlgGe6_JY_1olB1XN4rF0dxEuIIF-xsYjHgg/edit?usp=sharing"",""พรบ!BR60"")"),0)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IFERROR(__xludf.DUMMYFUNCTION("IMPORTRANGE(""https://docs.google.com/spreadsheets/d/1C3CXT74ZlgGe6_JY_1olB1XN4rF0dxEuIIF-xsYjHgg/edit?usp=sharing"",""พรบ!BU60"")"),0)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IFERROR(__xludf.DUMMYFUNCTION("IMPORTRANGE(""https://docs.google.com/spreadsheets/d/1C3CXT74ZlgGe6_JY_1olB1XN4rF0dxEuIIF-xsYjHgg/edit?usp=sharing"",""พรบ!BV60"")"),0)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160</v>
      </c>
      <c r="J228" s="197">
        <f ca="1">J240</f>
        <v>0</v>
      </c>
      <c r="K228" s="178">
        <f ca="1">IF(I228&gt;0,J228*100/I228,0)</f>
        <v>0</v>
      </c>
      <c r="L228" s="179">
        <f ca="1">L229+L230</f>
        <v>682250</v>
      </c>
      <c r="M228" s="179">
        <f>SUM(M229:M230)</f>
        <v>67668</v>
      </c>
      <c r="N228" s="178">
        <f ca="1">IF(L228&gt;0,M228*100/L228,0)</f>
        <v>9.9183583730304132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682250</v>
      </c>
      <c r="M230" s="52">
        <f t="shared" si="51"/>
        <v>67668</v>
      </c>
      <c r="N230" s="52">
        <f t="shared" ca="1" si="50"/>
        <v>9.9183583730304132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IFERROR(__xludf.DUMMYFUNCTION("IMPORTRANGE(""https://docs.google.com/spreadsheets/d/1C3CXT74ZlgGe6_JY_1olB1XN4rF0dxEuIIF-xsYjHgg/edit?usp=sharing"",""พรบ!BX60"")"),306000)</f>
        <v>306000</v>
      </c>
      <c r="M231" s="53">
        <v>55828</v>
      </c>
      <c r="N231" s="52">
        <f t="shared" ca="1" si="50"/>
        <v>18.244444444444444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IFERROR(__xludf.DUMMYFUNCTION("IMPORTRANGE(""https://docs.google.com/spreadsheets/d/1C3CXT74ZlgGe6_JY_1olB1XN4rF0dxEuIIF-xsYjHgg/edit?usp=sharing"",""พรบ!BY60"")"),376250)</f>
        <v>376250</v>
      </c>
      <c r="M232" s="53">
        <v>11840</v>
      </c>
      <c r="N232" s="52">
        <f t="shared" ca="1" si="50"/>
        <v>3.1468438538205978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IFERROR(__xludf.DUMMYFUNCTION("IMPORTRANGE(""https://docs.google.com/spreadsheets/d/1AGHcLOeeYFL3K4b9R1dSzyJy00PE_ra89DNTVfnxSWM/edit?usp=sharing"",""รวมที่ทำกิน!J49"")"),0)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IFERROR(__xludf.DUMMYFUNCTION("IMPORTRANGE(""https://docs.google.com/spreadsheets/d/1C3CXT74ZlgGe6_JY_1olB1XN4rF0dxEuIIF-xsYjHgg/edit?usp=sharing"",""พรบ!BZ60"")"),2250)</f>
        <v>2250</v>
      </c>
      <c r="J235" s="66">
        <f ca="1">IFERROR(__xludf.DUMMYFUNCTION("IMPORTRANGE(""https://docs.google.com/spreadsheets/d/1AGHcLOeeYFL3K4b9R1dSzyJy00PE_ra89DNTVfnxSWM/edit?usp=sharing"",""รวมที่ทำกิน!L49"")"),0)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IFERROR(__xludf.DUMMYFUNCTION("IMPORTRANGE(""https://docs.google.com/spreadsheets/d/1C3CXT74ZlgGe6_JY_1olB1XN4rF0dxEuIIF-xsYjHgg/edit?usp=sharing"",""พรบ!CA60"")"),160)</f>
        <v>160</v>
      </c>
      <c r="J236" s="66">
        <f ca="1">IFERROR(__xludf.DUMMYFUNCTION("IMPORTRANGE(""https://docs.google.com/spreadsheets/d/1AGHcLOeeYFL3K4b9R1dSzyJy00PE_ra89DNTVfnxSWM/edit?usp=sharing"",""รวมที่ทำกิน!O49"")"),0)</f>
        <v>0</v>
      </c>
      <c r="K236" s="200">
        <f t="shared" ca="1" si="52"/>
        <v>0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IFERROR(__xludf.DUMMYFUNCTION("IMPORTRANGE(""https://docs.google.com/spreadsheets/d/1AGHcLOeeYFL3K4b9R1dSzyJy00PE_ra89DNTVfnxSWM/edit?usp=sharing"",""รวมที่ทำกิน!Q49"")"),0)</f>
        <v>0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IFERROR(__xludf.DUMMYFUNCTION("IMPORTRANGE(""https://docs.google.com/spreadsheets/d/1C3CXT74ZlgGe6_JY_1olB1XN4rF0dxEuIIF-xsYjHgg/edit?usp=sharing"",""พรบ!CB60"")"),160)</f>
        <v>160</v>
      </c>
      <c r="J238" s="66">
        <f ca="1">IFERROR(__xludf.DUMMYFUNCTION("IMPORTRANGE(""https://docs.google.com/spreadsheets/d/1AGHcLOeeYFL3K4b9R1dSzyJy00PE_ra89DNTVfnxSWM/edit?usp=sharing"",""รวมที่ทำกิน!S49"")"),0)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IFERROR(__xludf.DUMMYFUNCTION("IMPORTRANGE(""https://docs.google.com/spreadsheets/d/1AGHcLOeeYFL3K4b9R1dSzyJy00PE_ra89DNTVfnxSWM/edit?usp=sharing"",""รวมที่ทำกิน!U49"")"),0)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IFERROR(__xludf.DUMMYFUNCTION("IMPORTRANGE(""https://docs.google.com/spreadsheets/d/1C3CXT74ZlgGe6_JY_1olB1XN4rF0dxEuIIF-xsYjHgg/edit?usp=sharing"",""พรบ!CC60"")"),160)</f>
        <v>160</v>
      </c>
      <c r="J240" s="66">
        <f ca="1">IFERROR(__xludf.DUMMYFUNCTION("IMPORTRANGE(""https://docs.google.com/spreadsheets/d/1AGHcLOeeYFL3K4b9R1dSzyJy00PE_ra89DNTVfnxSWM/edit?usp=sharing"",""รวมที่ทำกิน!W49"")"),0)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IFERROR(__xludf.DUMMYFUNCTION("IMPORTRANGE(""https://docs.google.com/spreadsheets/d/1AGHcLOeeYFL3K4b9R1dSzyJy00PE_ra89DNTVfnxSWM/edit?usp=sharing"",""รวมที่ทำกิน!Y49"")"),0)</f>
        <v>0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1027223</v>
      </c>
      <c r="M242" s="213">
        <f t="shared" si="53"/>
        <v>14680</v>
      </c>
      <c r="N242" s="213">
        <f ca="1">+IF(L242&gt;0,M242*100/L242,0)</f>
        <v>1.4290957270232463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0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IFERROR(__xludf.DUMMYFUNCTION("IMPORTRANGE(""https://docs.google.com/spreadsheets/d/1C3CXT74ZlgGe6_JY_1olB1XN4rF0dxEuIIF-xsYjHgg/edit?usp=sharing"",""งบกองทุน!d60"")"),0)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IFERROR(__xludf.DUMMYFUNCTION("IMPORTRANGE(""https://docs.google.com/spreadsheets/d/1C3CXT74ZlgGe6_JY_1olB1XN4rF0dxEuIIF-xsYjHgg/edit?usp=sharing"",""งบกองทุน!e60"")"),0)</f>
        <v>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2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2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2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2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66"/>
      <c r="K254" s="232"/>
      <c r="L254" s="52"/>
      <c r="M254" s="52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6">
        <v>0</v>
      </c>
      <c r="K255" s="232"/>
      <c r="L255" s="52"/>
      <c r="M255" s="52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6">
        <v>0</v>
      </c>
      <c r="K256" s="232"/>
      <c r="L256" s="52" t="s">
        <v>21</v>
      </c>
      <c r="M256" s="52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6">
        <v>0</v>
      </c>
      <c r="K257" s="232"/>
      <c r="L257" s="52"/>
      <c r="M257" s="52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6">
        <v>0</v>
      </c>
      <c r="K258" s="232"/>
      <c r="L258" s="52"/>
      <c r="M258" s="52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232"/>
      <c r="L259" s="52"/>
      <c r="M259" s="52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IFERROR(__xludf.DUMMYFUNCTION("IMPORTRANGE(""https://docs.google.com/spreadsheets/d/1C3CXT74ZlgGe6_JY_1olB1XN4rF0dxEuIIF-xsYjHgg/edit?usp=sharing"",""งบกองทุน!f60"")"),0)</f>
        <v>0</v>
      </c>
      <c r="J260" s="66">
        <v>0</v>
      </c>
      <c r="K260" s="232">
        <f ca="1">IF(I260&gt;0,J260*100/I260,0)</f>
        <v>0</v>
      </c>
      <c r="L260" s="52"/>
      <c r="M260" s="52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232"/>
      <c r="L261" s="52"/>
      <c r="M261" s="52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0</v>
      </c>
      <c r="J262" s="66">
        <f t="shared" si="59"/>
        <v>0</v>
      </c>
      <c r="K262" s="232">
        <f t="shared" ref="K262:K268" ca="1" si="60">IF(I262&gt;0,J262*100/I262,0)</f>
        <v>0</v>
      </c>
      <c r="L262" s="52"/>
      <c r="M262" s="52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IFERROR(__xludf.DUMMYFUNCTION("IMPORTRANGE(""https://docs.google.com/spreadsheets/d/1C3CXT74ZlgGe6_JY_1olB1XN4rF0dxEuIIF-xsYjHgg/edit?usp=sharing"",""งบกองทุน!H60"")"),0)</f>
        <v>0</v>
      </c>
      <c r="J263" s="66">
        <f>J267</f>
        <v>0</v>
      </c>
      <c r="K263" s="232">
        <f t="shared" ca="1" si="60"/>
        <v>0</v>
      </c>
      <c r="L263" s="52"/>
      <c r="M263" s="52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IFERROR(__xludf.DUMMYFUNCTION("IMPORTRANGE(""https://docs.google.com/spreadsheets/d/1C3CXT74ZlgGe6_JY_1olB1XN4rF0dxEuIIF-xsYjHgg/edit?usp=sharing"",""งบกองทุน!i60"")"),0)</f>
        <v>0</v>
      </c>
      <c r="J264" s="66">
        <v>0</v>
      </c>
      <c r="K264" s="232">
        <f t="shared" ca="1" si="60"/>
        <v>0</v>
      </c>
      <c r="L264" s="52"/>
      <c r="M264" s="52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0</v>
      </c>
      <c r="J265" s="66">
        <v>0</v>
      </c>
      <c r="K265" s="232">
        <f t="shared" ca="1" si="60"/>
        <v>0</v>
      </c>
      <c r="L265" s="52"/>
      <c r="M265" s="52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IFERROR(__xludf.DUMMYFUNCTION("IMPORTRANGE(""https://docs.google.com/spreadsheets/d/1C3CXT74ZlgGe6_JY_1olB1XN4rF0dxEuIIF-xsYjHgg/edit?usp=sharing"",""งบกองทุน!k60"")"),0)</f>
        <v>0</v>
      </c>
      <c r="J266" s="66">
        <v>0</v>
      </c>
      <c r="K266" s="232">
        <f t="shared" ca="1" si="60"/>
        <v>0</v>
      </c>
      <c r="L266" s="52"/>
      <c r="M266" s="52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0</v>
      </c>
      <c r="J267" s="66">
        <v>0</v>
      </c>
      <c r="K267" s="232">
        <f t="shared" ca="1" si="60"/>
        <v>0</v>
      </c>
      <c r="L267" s="52"/>
      <c r="M267" s="52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IFERROR(__xludf.DUMMYFUNCTION("IMPORTRANGE(""https://docs.google.com/spreadsheets/d/1C3CXT74ZlgGe6_JY_1olB1XN4rF0dxEuIIF-xsYjHgg/edit?usp=sharing"",""งบกองทุน!m60"")"),0)</f>
        <v>0</v>
      </c>
      <c r="J268" s="66">
        <v>0</v>
      </c>
      <c r="K268" s="232">
        <f t="shared" ca="1" si="60"/>
        <v>0</v>
      </c>
      <c r="L268" s="52"/>
      <c r="M268" s="52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232"/>
      <c r="L269" s="52"/>
      <c r="M269" s="52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0</v>
      </c>
      <c r="J270" s="66">
        <f t="shared" si="61"/>
        <v>0</v>
      </c>
      <c r="K270" s="232">
        <f t="shared" ref="K270:K272" ca="1" si="62">IF(I270&gt;0,J270*100/I270,0)</f>
        <v>0</v>
      </c>
      <c r="L270" s="52"/>
      <c r="M270" s="52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IFERROR(__xludf.DUMMYFUNCTION("IMPORTRANGE(""https://docs.google.com/spreadsheets/d/1C3CXT74ZlgGe6_JY_1olB1XN4rF0dxEuIIF-xsYjHgg/edit?usp=sharing"",""งบกองทุน!o60"")"),0)</f>
        <v>0</v>
      </c>
      <c r="J271" s="66">
        <v>0</v>
      </c>
      <c r="K271" s="232">
        <f t="shared" ca="1" si="62"/>
        <v>0</v>
      </c>
      <c r="L271" s="52"/>
      <c r="M271" s="52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IFERROR(__xludf.DUMMYFUNCTION("IMPORTRANGE(""https://docs.google.com/spreadsheets/d/1C3CXT74ZlgGe6_JY_1olB1XN4rF0dxEuIIF-xsYjHgg/edit?usp=sharing"",""งบกองทุน!p60"")"),0)</f>
        <v>0</v>
      </c>
      <c r="J272" s="66">
        <v>0</v>
      </c>
      <c r="K272" s="232">
        <f t="shared" ca="1" si="62"/>
        <v>0</v>
      </c>
      <c r="L272" s="52"/>
      <c r="M272" s="52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6">
        <v>0</v>
      </c>
      <c r="K273" s="232"/>
      <c r="L273" s="52"/>
      <c r="M273" s="52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356">
        <v>0</v>
      </c>
      <c r="K274" s="232"/>
      <c r="L274" s="52"/>
      <c r="M274" s="52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500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460140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50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460140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IFERROR(__xludf.DUMMYFUNCTION("IMPORTRANGE(""https://docs.google.com/spreadsheets/d/1C3CXT74ZlgGe6_JY_1olB1XN4rF0dxEuIIF-xsYjHgg/edit?usp=sharing"",""งบกองทุน!r60"")"),0)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IFERROR(__xludf.DUMMYFUNCTION("IMPORTRANGE(""https://docs.google.com/spreadsheets/d/1C3CXT74ZlgGe6_JY_1olB1XN4rF0dxEuIIF-xsYjHgg/edit?usp=sharing"",""งบกองทุน!s60"")"),460140)</f>
        <v>460140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1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1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IFERROR(__xludf.DUMMYFUNCTION("IMPORTRANGE(""https://docs.google.com/spreadsheets/d/1C3CXT74ZlgGe6_JY_1olB1XN4rF0dxEuIIF-xsYjHgg/edit?usp=sharing"",""งบกองทุน!v60"")"),50)</f>
        <v>50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IFERROR(__xludf.DUMMYFUNCTION("IMPORTRANGE(""https://docs.google.com/spreadsheets/d/1C3CXT74ZlgGe6_JY_1olB1XN4rF0dxEuIIF-xsYjHgg/edit?usp=sharing"",""งบกองทุน!w60"")"),500)</f>
        <v>500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IFERROR(__xludf.DUMMYFUNCTION("IMPORTRANGE(""https://docs.google.com/spreadsheets/d/1C3CXT74ZlgGe6_JY_1olB1XN4rF0dxEuIIF-xsYjHgg/edit?usp=sharing"",""งบกองทุน!x60"")"),50)</f>
        <v>50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120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144560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40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144560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IFERROR(__xludf.DUMMYFUNCTION("IMPORTRANGE(""https://docs.google.com/spreadsheets/d/1C3CXT74ZlgGe6_JY_1olB1XN4rF0dxEuIIF-xsYjHgg/edit?usp=sharing"",""งบกองทุน!z60"")"),0)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IFERROR(__xludf.DUMMYFUNCTION("IMPORTRANGE(""https://docs.google.com/spreadsheets/d/1C3CXT74ZlgGe6_JY_1olB1XN4rF0dxEuIIF-xsYjHgg/edit?usp=sharing"",""งบกองทุน!aa60"")"),144560)</f>
        <v>144560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1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40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IFERROR(__xludf.DUMMYFUNCTION("IMPORTRANGE(""https://docs.google.com/spreadsheets/d/1C3CXT74ZlgGe6_JY_1olB1XN4rF0dxEuIIF-xsYjHgg/edit?usp=sharing"",""งบกองทุน!ae60"")"),10)</f>
        <v>10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IFERROR(__xludf.DUMMYFUNCTION("IMPORTRANGE(""https://docs.google.com/spreadsheets/d/1C3CXT74ZlgGe6_JY_1olB1XN4rF0dxEuIIF-xsYjHgg/edit?usp=sharing"",""งบกองทุน!ad60"")"),30)</f>
        <v>30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IFERROR(__xludf.DUMMYFUNCTION("IMPORTRANGE(""https://docs.google.com/spreadsheets/d/1C3CXT74ZlgGe6_JY_1olB1XN4rF0dxEuIIF-xsYjHgg/edit?usp=sharing"",""งบกองทุน!af60"")"),10)</f>
        <v>10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IFERROR(__xludf.DUMMYFUNCTION("IMPORTRANGE(""https://docs.google.com/spreadsheets/d/1C3CXT74ZlgGe6_JY_1olB1XN4rF0dxEuIIF-xsYjHgg/edit?usp=sharing"",""งบกองทุน!ag60"")"),10)</f>
        <v>10</v>
      </c>
      <c r="J315" s="247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IFERROR(__xludf.DUMMYFUNCTION("IMPORTRANGE(""https://docs.google.com/spreadsheets/d/1C3CXT74ZlgGe6_JY_1olB1XN4rF0dxEuIIF-xsYjHgg/edit?usp=sharing"",""งบกองทุน!ai60"")"),20)</f>
        <v>20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IFERROR(__xludf.DUMMYFUNCTION("IMPORTRANGE(""https://docs.google.com/spreadsheets/d/1C3CXT74ZlgGe6_JY_1olB1XN4rF0dxEuIIF-xsYjHgg/edit?usp=sharing"",""งบกองทุน!ah60"")"),60)</f>
        <v>60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IFERROR(__xludf.DUMMYFUNCTION("IMPORTRANGE(""https://docs.google.com/spreadsheets/d/1C3CXT74ZlgGe6_JY_1olB1XN4rF0dxEuIIF-xsYjHgg/edit?usp=sharing"",""งบกองทุน!aj60"")"),20)</f>
        <v>20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IFERROR(__xludf.DUMMYFUNCTION("IMPORTRANGE(""https://docs.google.com/spreadsheets/d/1C3CXT74ZlgGe6_JY_1olB1XN4rF0dxEuIIF-xsYjHgg/edit?usp=sharing"",""งบกองทุน!ak60"")"),20)</f>
        <v>20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IFERROR(__xludf.DUMMYFUNCTION("IMPORTRANGE(""https://docs.google.com/spreadsheets/d/1C3CXT74ZlgGe6_JY_1olB1XN4rF0dxEuIIF-xsYjHgg/edit?usp=sharing"",""งบกองทุน!al60"")"),20)</f>
        <v>20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IFERROR(__xludf.DUMMYFUNCTION("IMPORTRANGE(""https://docs.google.com/spreadsheets/d/1C3CXT74ZlgGe6_JY_1olB1XN4rF0dxEuIIF-xsYjHgg/edit?usp=sharing"",""งบกองทุน!an60"")"),10)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IFERROR(__xludf.DUMMYFUNCTION("IMPORTRANGE(""https://docs.google.com/spreadsheets/d/1C3CXT74ZlgGe6_JY_1olB1XN4rF0dxEuIIF-xsYjHgg/edit?usp=sharing"",""งบกองทุน!am60"")"),30)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IFERROR(__xludf.DUMMYFUNCTION("IMPORTRANGE(""https://docs.google.com/spreadsheets/d/1C3CXT74ZlgGe6_JY_1olB1XN4rF0dxEuIIF-xsYjHgg/edit?usp=sharing"",""งบกองทุน!ao60"")"),10)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IFERROR(__xludf.DUMMYFUNCTION("IMPORTRANGE(""https://docs.google.com/spreadsheets/d/1C3CXT74ZlgGe6_JY_1olB1XN4rF0dxEuIIF-xsYjHgg/edit?usp=sharing"",""งบกองทุน!ap60"")"),10)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30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IFERROR(__xludf.DUMMYFUNCTION("IMPORTRANGE(""https://docs.google.com/spreadsheets/d/1C3CXT74ZlgGe6_JY_1olB1XN4rF0dxEuIIF-xsYjHgg/edit?usp=sharing"",""งบกองทุน!ar60"")"),10)</f>
        <v>10</v>
      </c>
      <c r="J326" s="67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IFERROR(__xludf.DUMMYFUNCTION("IMPORTRANGE(""https://docs.google.com/spreadsheets/d/1C3CXT74ZlgGe6_JY_1olB1XN4rF0dxEuIIF-xsYjHgg/edit?usp=sharing"",""งบกองทุน!as60"")"),20)</f>
        <v>20</v>
      </c>
      <c r="J327" s="67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20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95000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95000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IFERROR(__xludf.DUMMYFUNCTION("IMPORTRANGE(""https://docs.google.com/spreadsheets/d/1C3CXT74ZlgGe6_JY_1olB1XN4rF0dxEuIIF-xsYjHgg/edit?usp=sharing"",""งบกองทุน!au60"")"),0)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IFERROR(__xludf.DUMMYFUNCTION("IMPORTRANGE(""https://docs.google.com/spreadsheets/d/1C3CXT74ZlgGe6_JY_1olB1XN4rF0dxEuIIF-xsYjHgg/edit?usp=sharing"",""งบกองทุน!av60"")"),95000)</f>
        <v>95000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1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20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IFERROR(__xludf.DUMMYFUNCTION("IMPORTRANGE(""https://docs.google.com/spreadsheets/d/1C3CXT74ZlgGe6_JY_1olB1XN4rF0dxEuIIF-xsYjHgg/edit?usp=sharing"",""งบกองทุน!ay60"")"),20)</f>
        <v>20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IFERROR(__xludf.DUMMYFUNCTION("IMPORTRANGE(""https://docs.google.com/spreadsheets/d/1C3CXT74ZlgGe6_JY_1olB1XN4rF0dxEuIIF-xsYjHgg/edit?usp=sharing"",""งบกองทุน!az60"")"),0)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IFERROR(__xludf.DUMMYFUNCTION("IMPORTRANGE(""https://docs.google.com/spreadsheets/d/1C3CXT74ZlgGe6_JY_1olB1XN4rF0dxEuIIF-xsYjHgg/edit?usp=sharing"",""งบกองทุน!Ba60"")"),0)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17519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162553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162553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IFERROR(__xludf.DUMMYFUNCTION("IMPORTRANGE(""https://docs.google.com/spreadsheets/d/1C3CXT74ZlgGe6_JY_1olB1XN4rF0dxEuIIF-xsYjHgg/edit?usp=sharing"",""งบกองทุน!Bc60"")"),0)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IFERROR(__xludf.DUMMYFUNCTION("IMPORTRANGE(""https://docs.google.com/spreadsheets/d/1C3CXT74ZlgGe6_JY_1olB1XN4rF0dxEuIIF-xsYjHgg/edit?usp=sharing"",""งบกองทุน!Bd60"")"),162553)</f>
        <v>162553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IFERROR(__xludf.DUMMYFUNCTION("IMPORTRANGE(""https://docs.google.com/spreadsheets/d/1C3CXT74ZlgGe6_JY_1olB1XN4rF0dxEuIIF-xsYjHgg/edit?usp=sharing"",""งบกองทุน!BE60"")"),17519)</f>
        <v>17519</v>
      </c>
      <c r="J359" s="136">
        <f>+J376</f>
        <v>0</v>
      </c>
      <c r="K359" s="137">
        <f t="shared" ref="K359:K408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IFERROR(__xludf.DUMMYFUNCTION("IMPORTRANGE(""https://docs.google.com/spreadsheets/d/1C3CXT74ZlgGe6_JY_1olB1XN4rF0dxEuIIF-xsYjHgg/edit?usp=sharing"",""งบกองทุน!BE60"")"),17519)</f>
        <v>17519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IFERROR(__xludf.DUMMYFUNCTION("IMPORTRANGE(""https://docs.google.com/spreadsheets/d/1C3CXT74ZlgGe6_JY_1olB1XN4rF0dxEuIIF-xsYjHgg/edit?usp=sharing"",""งบกองทุน!Bf60"")"),1421)</f>
        <v>1421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17519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265">
        <f ca="1">I361</f>
        <v>1421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17519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265">
        <f ca="1">I361</f>
        <v>1421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IFERROR(__xludf.DUMMYFUNCTION("IMPORTRANGE(""https://docs.google.com/spreadsheets/d/1C3CXT74ZlgGe6_JY_1olB1XN4rF0dxEuIIF-xsYjHgg/edit?usp=sharing"",""งบกองทุน!cd60"")"),784)</f>
        <v>784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IFERROR(__xludf.DUMMYFUNCTION("IMPORTRANGE(""https://docs.google.com/spreadsheets/d/1C3CXT74ZlgGe6_JY_1olB1XN4rF0dxEuIIF-xsYjHgg/edit?usp=sharing"",""งบกองทุน!cd60"")"),784)</f>
        <v>784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IFERROR(__xludf.DUMMYFUNCTION("IMPORTRANGE(""https://docs.google.com/spreadsheets/d/1C3CXT74ZlgGe6_JY_1olB1XN4rF0dxEuIIF-xsYjHgg/edit?usp=sharing"",""งบกองทุน!cc60"")"),73)</f>
        <v>73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IFERROR(__xludf.DUMMYFUNCTION("IMPORTRANGE(""https://docs.google.com/spreadsheets/d/1C3CXT74ZlgGe6_JY_1olB1XN4rF0dxEuIIF-xsYjHgg/edit?usp=sharing"",""งบกองทุน!cz60"")"),0)</f>
        <v>0</v>
      </c>
      <c r="J409" s="136">
        <v>0</v>
      </c>
      <c r="K409" s="137"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IFERROR(__xludf.DUMMYFUNCTION("IMPORTRANGE(""https://docs.google.com/spreadsheets/d/1C3CXT74ZlgGe6_JY_1olB1XN4rF0dxEuIIF-xsYjHgg/edit?usp=sharing"",""งบกองทุน!cz60"")"),0)</f>
        <v>0</v>
      </c>
      <c r="J410" s="149">
        <v>0</v>
      </c>
      <c r="K410" s="146"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IFERROR(__xludf.DUMMYFUNCTION("IMPORTRANGE(""https://docs.google.com/spreadsheets/d/1C3CXT74ZlgGe6_JY_1olB1XN4rF0dxEuIIF-xsYjHgg/edit?usp=sharing"",""งบกองทุน!cy60"")"),0)</f>
        <v>0</v>
      </c>
      <c r="J411" s="149">
        <v>0</v>
      </c>
      <c r="K411" s="146"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IFERROR(__xludf.DUMMYFUNCTION("IMPORTRANGE(""https://docs.google.com/spreadsheets/d/1C3CXT74ZlgGe6_JY_1olB1XN4rF0dxEuIIF-xsYjHgg/edit?usp=sharing"",""งบกองทุน!db60"")"),0)</f>
        <v>0</v>
      </c>
      <c r="K412" s="48"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IFERROR(__xludf.DUMMYFUNCTION("IMPORTRANGE(""https://docs.google.com/spreadsheets/d/1C3CXT74ZlgGe6_JY_1olB1XN4rF0dxEuIIF-xsYjHgg/edit?usp=sharing"",""งบกองทุน!da60"")"),0)</f>
        <v>0</v>
      </c>
      <c r="K413" s="48"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IFERROR(__xludf.DUMMYFUNCTION("IMPORTRANGE(""https://docs.google.com/spreadsheets/d/1C3CXT74ZlgGe6_JY_1olB1XN4rF0dxEuIIF-xsYjHgg/edit?usp=sharing"",""งบกองทุน!dd60"")"),0)</f>
        <v>0</v>
      </c>
      <c r="K414" s="48"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IFERROR(__xludf.DUMMYFUNCTION("IMPORTRANGE(""https://docs.google.com/spreadsheets/d/1C3CXT74ZlgGe6_JY_1olB1XN4rF0dxEuIIF-xsYjHgg/edit?usp=sharing"",""งบกองทุน!dc60"")"),0)</f>
        <v>0</v>
      </c>
      <c r="K415" s="48"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IFERROR(__xludf.DUMMYFUNCTION("IMPORTRANGE(""https://docs.google.com/spreadsheets/d/1C3CXT74ZlgGe6_JY_1olB1XN4rF0dxEuIIF-xsYjHgg/edit?usp=sharing"",""งบกองทุน!df60"")"),0)</f>
        <v>0</v>
      </c>
      <c r="K416" s="48"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IFERROR(__xludf.DUMMYFUNCTION("IMPORTRANGE(""https://docs.google.com/spreadsheets/d/1C3CXT74ZlgGe6_JY_1olB1XN4rF0dxEuIIF-xsYjHgg/edit?usp=sharing"",""งบกองทุน!de60"")"),0)</f>
        <v>0</v>
      </c>
      <c r="K417" s="48"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4">
        <v>0</v>
      </c>
      <c r="J425" s="300">
        <v>0</v>
      </c>
      <c r="K425" s="301"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22</v>
      </c>
      <c r="J426" s="257">
        <f t="shared" si="91"/>
        <v>22</v>
      </c>
      <c r="K426" s="258">
        <f ca="1">IF(I426&gt;0,J426*100/I426,0)</f>
        <v>100</v>
      </c>
      <c r="L426" s="259">
        <f t="shared" ref="L426:M426" ca="1" si="92">SUM(L427:L428)</f>
        <v>34340</v>
      </c>
      <c r="M426" s="259">
        <f t="shared" si="92"/>
        <v>14680</v>
      </c>
      <c r="N426" s="259">
        <f t="shared" ref="N426:N430" ca="1" si="93">+IF(L426&gt;0,M426*100/L426,0)</f>
        <v>42.748980780430983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34340</v>
      </c>
      <c r="M428" s="52">
        <f t="shared" si="94"/>
        <v>14680</v>
      </c>
      <c r="N428" s="52">
        <f t="shared" ca="1" si="93"/>
        <v>42.748980780430983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IFERROR(__xludf.DUMMYFUNCTION("IMPORTRANGE(""https://docs.google.com/spreadsheets/d/1C3CXT74ZlgGe6_JY_1olB1XN4rF0dxEuIIF-xsYjHgg/edit?usp=sharing"",""งบกองทุน!dn60"")"),0)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IFERROR(__xludf.DUMMYFUNCTION("IMPORTRANGE(""https://docs.google.com/spreadsheets/d/1C3CXT74ZlgGe6_JY_1olB1XN4rF0dxEuIIF-xsYjHgg/edit?usp=sharing"",""งบกองทุน!do60"")"),34340)</f>
        <v>34340</v>
      </c>
      <c r="M430" s="52">
        <f>SUM(M431:M434)</f>
        <v>14680</v>
      </c>
      <c r="N430" s="52">
        <f t="shared" ca="1" si="93"/>
        <v>42.748980780430983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14680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1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IFERROR(__xludf.DUMMYFUNCTION("IMPORTRANGE(""https://docs.google.com/spreadsheets/d/1C3CXT74ZlgGe6_JY_1olB1XN4rF0dxEuIIF-xsYjHgg/edit?usp=sharing"",""งบกองทุน!dq60"")"),22)</f>
        <v>22</v>
      </c>
      <c r="J440" s="67">
        <v>22</v>
      </c>
      <c r="K440" s="48">
        <f t="shared" ref="K440:K441" ca="1" si="95">IF(I440&gt;0,J440*100/I440,0)</f>
        <v>100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IFERROR(__xludf.DUMMYFUNCTION("IMPORTRANGE(""https://docs.google.com/spreadsheets/d/1C3CXT74ZlgGe6_JY_1olB1XN4rF0dxEuIIF-xsYjHgg/edit?usp=sharing"",""งบกองทุน!dr60"")"),22)</f>
        <v>22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IFERROR(__xludf.DUMMYFUNCTION("IMPORTRANGE(""https://docs.google.com/spreadsheets/d/1C3CXT74ZlgGe6_JY_1olB1XN4rF0dxEuIIF-xsYjHgg/edit?usp=sharing"",""งบกองทุน!dt60"")"),0)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IFERROR(__xludf.DUMMYFUNCTION("IMPORTRANGE(""https://docs.google.com/spreadsheets/d/1C3CXT74ZlgGe6_JY_1olB1XN4rF0dxEuIIF-xsYjHgg/edit?usp=sharing"",""งบกองทุน!du60"")"),0)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IFERROR(__xludf.DUMMYFUNCTION("IMPORTRANGE(""https://docs.google.com/spreadsheets/d/1C3CXT74ZlgGe6_JY_1olB1XN4rF0dxEuIIF-xsYjHgg/edit?usp=sharing"",""งบกองทุน!dw60"")"),0)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IFERROR(__xludf.DUMMYFUNCTION("IMPORTRANGE(""https://docs.google.com/spreadsheets/d/1C3CXT74ZlgGe6_JY_1olB1XN4rF0dxEuIIF-xsYjHgg/edit?usp=sharing"",""งบกองทุน!dx60"")"),0)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IFERROR(__xludf.DUMMYFUNCTION("IMPORTRANGE(""https://docs.google.com/spreadsheets/d/1C3CXT74ZlgGe6_JY_1olB1XN4rF0dxEuIIF-xsYjHgg/edit?usp=sharing"",""งบกองทุน!dy60"")"),0)</f>
        <v>0</v>
      </c>
      <c r="J455" s="66">
        <v>0</v>
      </c>
      <c r="K455" s="48">
        <f t="shared" ca="1" si="100"/>
        <v>0</v>
      </c>
      <c r="L455" s="60"/>
      <c r="M455" s="60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IFERROR(__xludf.DUMMYFUNCTION("IMPORTRANGE(""https://docs.google.com/spreadsheets/d/1C3CXT74ZlgGe6_JY_1olB1XN4rF0dxEuIIF-xsYjHgg/edit?usp=sharing"",""งบกองทุน!dz60"")"),0)</f>
        <v>0</v>
      </c>
      <c r="J456" s="66">
        <v>0</v>
      </c>
      <c r="K456" s="48">
        <f t="shared" ca="1" si="100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700</v>
      </c>
      <c r="J457" s="226">
        <f>+J466</f>
        <v>127</v>
      </c>
      <c r="K457" s="227">
        <f t="shared" ca="1" si="100"/>
        <v>18.142857142857142</v>
      </c>
      <c r="L457" s="228">
        <f t="shared" ref="L457:M457" ca="1" si="101">SUM(L458:L459)</f>
        <v>126080</v>
      </c>
      <c r="M457" s="228">
        <f t="shared" si="101"/>
        <v>0</v>
      </c>
      <c r="N457" s="228">
        <f t="shared" ref="N457:N461" ca="1" si="102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126080</v>
      </c>
      <c r="M459" s="52">
        <f t="shared" si="103"/>
        <v>0</v>
      </c>
      <c r="N459" s="52">
        <f t="shared" ca="1" si="102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IFERROR(__xludf.DUMMYFUNCTION("IMPORTRANGE(""https://docs.google.com/spreadsheets/d/1C3CXT74ZlgGe6_JY_1olB1XN4rF0dxEuIIF-xsYjHgg/edit?usp=sharing"",""งบกองทุน!Eb60"")"),0)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IFERROR(__xludf.DUMMYFUNCTION("IMPORTRANGE(""https://docs.google.com/spreadsheets/d/1C3CXT74ZlgGe6_JY_1olB1XN4rF0dxEuIIF-xsYjHgg/edit?usp=sharing"",""งบกองทุน!Ec60"")"),126080)</f>
        <v>126080</v>
      </c>
      <c r="M461" s="52">
        <f>SUM(M462:M465)</f>
        <v>0</v>
      </c>
      <c r="N461" s="52">
        <f t="shared" ca="1" si="102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IFERROR(__xludf.DUMMYFUNCTION("IMPORTRANGE(""https://docs.google.com/spreadsheets/d/1C3CXT74ZlgGe6_JY_1olB1XN4rF0dxEuIIF-xsYjHgg/edit?usp=sharing"",""งบกองทุน!Ed60"")"),700)</f>
        <v>700</v>
      </c>
      <c r="J466" s="265">
        <f>+J469+J470+J471+J472</f>
        <v>127</v>
      </c>
      <c r="K466" s="79">
        <f ca="1">IF(I466&gt;0,J466*100/I466,0)</f>
        <v>18.142857142857142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127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0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IFERROR(__xludf.DUMMYFUNCTION("IMPORTRANGE(""https://docs.google.com/spreadsheets/d/1C3CXT74ZlgGe6_JY_1olB1XN4rF0dxEuIIF-xsYjHgg/edit?usp=sharing"",""งบกองทุน!Ek60"")"),0)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IFERROR(__xludf.DUMMYFUNCTION("IMPORTRANGE(""https://docs.google.com/spreadsheets/d/1C3CXT74ZlgGe6_JY_1olB1XN4rF0dxEuIIF-xsYjHgg/edit?usp=sharing"",""งบกองทุน!El60"")"),0)</f>
        <v>0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IFERROR(__xludf.DUMMYFUNCTION("IMPORTRANGE(""https://docs.google.com/spreadsheets/d/1C3CXT74ZlgGe6_JY_1olB1XN4rF0dxEuIIF-xsYjHgg/edit?usp=sharing"",""งบกองทุน!Em60"")"),0)</f>
        <v>0</v>
      </c>
      <c r="J482" s="66">
        <f ca="1">IFERROR(__xludf.DUMMYFUNCTION("IMPORTRANGE(""https://docs.google.com/spreadsheets/d/1AGHcLOeeYFL3K4b9R1dSzyJy00PE_ra89DNTVfnxSWM/edit?usp=sharing"",""รวมที่ชุมชน!G49"")"),0)</f>
        <v>0</v>
      </c>
      <c r="K482" s="48">
        <f t="shared" ref="K482:K489" ca="1" si="107">IF(I482&gt;0,J482*100/I482,0)</f>
        <v>0</v>
      </c>
      <c r="L482" s="60"/>
      <c r="M482" s="52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IFERROR(__xludf.DUMMYFUNCTION("IMPORTRANGE(""https://docs.google.com/spreadsheets/d/1C3CXT74ZlgGe6_JY_1olB1XN4rF0dxEuIIF-xsYjHgg/edit?usp=sharing"",""งบกองทุน!En60"")"),0)</f>
        <v>0</v>
      </c>
      <c r="J483" s="66">
        <f ca="1">IFERROR(__xludf.DUMMYFUNCTION("IMPORTRANGE(""https://docs.google.com/spreadsheets/d/1AGHcLOeeYFL3K4b9R1dSzyJy00PE_ra89DNTVfnxSWM/edit?usp=sharing"",""รวมที่ชุมชน!H49"")"),0)</f>
        <v>0</v>
      </c>
      <c r="K483" s="200">
        <f t="shared" ca="1" si="107"/>
        <v>0</v>
      </c>
      <c r="L483" s="60"/>
      <c r="M483" s="52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IFERROR(__xludf.DUMMYFUNCTION("IMPORTRANGE(""https://docs.google.com/spreadsheets/d/1C3CXT74ZlgGe6_JY_1olB1XN4rF0dxEuIIF-xsYjHgg/edit?usp=sharing"",""งบกองทุน!Eo60"")"),0)</f>
        <v>0</v>
      </c>
      <c r="J484" s="66">
        <f ca="1">IFERROR(__xludf.DUMMYFUNCTION("IMPORTRANGE(""https://docs.google.com/spreadsheets/d/1AGHcLOeeYFL3K4b9R1dSzyJy00PE_ra89DNTVfnxSWM/edit?usp=sharing"",""รวมที่ชุมชน!J49"")"),0)</f>
        <v>0</v>
      </c>
      <c r="K484" s="48">
        <f t="shared" ca="1" si="107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IFERROR(__xludf.DUMMYFUNCTION("IMPORTRANGE(""https://docs.google.com/spreadsheets/d/1C3CXT74ZlgGe6_JY_1olB1XN4rF0dxEuIIF-xsYjHgg/edit?usp=sharing"",""งบกองทุน!Ep60"")"),0)</f>
        <v>0</v>
      </c>
      <c r="J485" s="66">
        <f ca="1">IFERROR(__xludf.DUMMYFUNCTION("IMPORTRANGE(""https://docs.google.com/spreadsheets/d/1AGHcLOeeYFL3K4b9R1dSzyJy00PE_ra89DNTVfnxSWM/edit?usp=sharing"",""รวมที่ชุมชน!L49"")"),0)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IFERROR(__xludf.DUMMYFUNCTION("IMPORTRANGE(""https://docs.google.com/spreadsheets/d/1C3CXT74ZlgGe6_JY_1olB1XN4rF0dxEuIIF-xsYjHgg/edit?usp=sharing"",""งบกองทุน!Eq60"")"),0)</f>
        <v>0</v>
      </c>
      <c r="J486" s="66">
        <f ca="1">IFERROR(__xludf.DUMMYFUNCTION("IMPORTRANGE(""https://docs.google.com/spreadsheets/d/1AGHcLOeeYFL3K4b9R1dSzyJy00PE_ra89DNTVfnxSWM/edit?usp=sharing"",""รวมที่ชุมชน!S49"")"),0)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IFERROR(__xludf.DUMMYFUNCTION("IMPORTRANGE(""https://docs.google.com/spreadsheets/d/1C3CXT74ZlgGe6_JY_1olB1XN4rF0dxEuIIF-xsYjHgg/edit?usp=sharing"",""งบกองทุน!Er60"")"),0)</f>
        <v>0</v>
      </c>
      <c r="J487" s="66">
        <f ca="1">IFERROR(__xludf.DUMMYFUNCTION("IMPORTRANGE(""https://docs.google.com/spreadsheets/d/1AGHcLOeeYFL3K4b9R1dSzyJy00PE_ra89DNTVfnxSWM/edit?usp=sharing"",""รวมที่ชุมชน!U49"")"),0)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IFERROR(__xludf.DUMMYFUNCTION("IMPORTRANGE(""https://docs.google.com/spreadsheets/d/1C3CXT74ZlgGe6_JY_1olB1XN4rF0dxEuIIF-xsYjHgg/edit?usp=sharing"",""งบกองทุน!Es60"")"),0)</f>
        <v>0</v>
      </c>
      <c r="J488" s="66">
        <f ca="1">IFERROR(__xludf.DUMMYFUNCTION("IMPORTRANGE(""https://docs.google.com/spreadsheets/d/1AGHcLOeeYFL3K4b9R1dSzyJy00PE_ra89DNTVfnxSWM/edit?usp=sharing"",""รวมที่ชุมชน!V49"")"),0)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IFERROR(__xludf.DUMMYFUNCTION("IMPORTRANGE(""https://docs.google.com/spreadsheets/d/1C3CXT74ZlgGe6_JY_1olB1XN4rF0dxEuIIF-xsYjHgg/edit?usp=sharing"",""งบกองทุน!Et60"")"),0)</f>
        <v>0</v>
      </c>
      <c r="J489" s="111">
        <f ca="1">IFERROR(__xludf.DUMMYFUNCTION("IMPORTRANGE(""https://docs.google.com/spreadsheets/d/1AGHcLOeeYFL3K4b9R1dSzyJy00PE_ra89DNTVfnxSWM/edit?usp=sharing"",""รวมที่ชุมชน!X49"")"),0)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50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4550</v>
      </c>
      <c r="M490" s="259">
        <f>SUM(M491:M492)</f>
        <v>0</v>
      </c>
      <c r="N490" s="259">
        <f t="shared" ref="N490:N494" ca="1" si="109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4550</v>
      </c>
      <c r="M492" s="52">
        <f t="shared" si="110"/>
        <v>0</v>
      </c>
      <c r="N492" s="52">
        <f t="shared" ca="1" si="109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IFERROR(__xludf.DUMMYFUNCTION("IMPORTRANGE(""https://docs.google.com/spreadsheets/d/1C3CXT74ZlgGe6_JY_1olB1XN4rF0dxEuIIF-xsYjHgg/edit?usp=sharing"",""งบกองทุน!Ev60"")"),0)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IFERROR(__xludf.DUMMYFUNCTION("IMPORTRANGE(""https://docs.google.com/spreadsheets/d/1C3CXT74ZlgGe6_JY_1olB1XN4rF0dxEuIIF-xsYjHgg/edit?usp=sharing"",""งบกองทุน!Ew60"")"),4550)</f>
        <v>4550</v>
      </c>
      <c r="M494" s="52">
        <f>SUM(M495:M498)</f>
        <v>0</v>
      </c>
      <c r="N494" s="52">
        <f t="shared" ca="1" si="109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1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IFERROR(__xludf.DUMMYFUNCTION("IMPORTRANGE(""https://docs.google.com/spreadsheets/d/1C3CXT74ZlgGe6_JY_1olB1XN4rF0dxEuIIF-xsYjHgg/edit?usp=sharing"",""งบกองทุน!EZ60"")"),50)</f>
        <v>50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IFERROR(__xludf.DUMMYFUNCTION("IMPORTRANGE(""https://docs.google.com/spreadsheets/d/1C3CXT74ZlgGe6_JY_1olB1XN4rF0dxEuIIF-xsYjHgg/edit?usp=sharing"",""งบกองทุน!ff60"")"),0)</f>
        <v>0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IFERROR(__xludf.DUMMYFUNCTION("IMPORTRANGE(""https://docs.google.com/spreadsheets/d/1muirlRDkqiswvy_NRZ3Yh955hx-PF6_HhssUYiSJj8o/edit?usp=sharing"",""กองทุน!D60"")"),7886000)</f>
        <v>7886000</v>
      </c>
      <c r="J521" s="199">
        <f ca="1">IFERROR(__xludf.DUMMYFUNCTION("IMPORTRANGE(""https://docs.google.com/spreadsheets/d/1muirlRDkqiswvy_NRZ3Yh955hx-PF6_HhssUYiSJj8o/edit?usp=sharing"",""กองทุน!F60"")"),0)</f>
        <v>0</v>
      </c>
      <c r="K521" s="200">
        <f t="shared" ref="K521:K528" ca="1" si="116">IF(I521&gt;0,J521*100/I521,0)</f>
        <v>0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IFERROR(__xludf.DUMMYFUNCTION("IMPORTRANGE(""https://docs.google.com/spreadsheets/d/1muirlRDkqiswvy_NRZ3Yh955hx-PF6_HhssUYiSJj8o/edit?usp=sharing"",""กองทุน!C60"")"),395)</f>
        <v>395</v>
      </c>
      <c r="J522" s="199">
        <f ca="1">IFERROR(__xludf.DUMMYFUNCTION("IMPORTRANGE(""https://docs.google.com/spreadsheets/d/1muirlRDkqiswvy_NRZ3Yh955hx-PF6_HhssUYiSJj8o/edit?usp=sharing"",""กองทุน!E60"")"),0)</f>
        <v>0</v>
      </c>
      <c r="K522" s="200">
        <f t="shared" ca="1" si="116"/>
        <v>0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IFERROR(__xludf.DUMMYFUNCTION("IMPORTRANGE(""https://docs.google.com/spreadsheets/d/1muirlRDkqiswvy_NRZ3Yh955hx-PF6_HhssUYiSJj8o/edit?usp=sharing"",""กองทุน!I60"")"),16588437.2599999)</f>
        <v>16588437.259999899</v>
      </c>
      <c r="J523" s="199">
        <f ca="1">IFERROR(__xludf.DUMMYFUNCTION("IMPORTRANGE(""https://docs.google.com/spreadsheets/d/1muirlRDkqiswvy_NRZ3Yh955hx-PF6_HhssUYiSJj8o/edit?usp=sharing"",""กองทุน!K60"")"),36610.8)</f>
        <v>36610.800000000003</v>
      </c>
      <c r="K523" s="200">
        <f t="shared" ca="1" si="116"/>
        <v>0.22070071716930512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IFERROR(__xludf.DUMMYFUNCTION("IMPORTRANGE(""https://docs.google.com/spreadsheets/d/1muirlRDkqiswvy_NRZ3Yh955hx-PF6_HhssUYiSJj8o/edit?usp=sharing"",""กองทุน!H60"")"),368)</f>
        <v>368</v>
      </c>
      <c r="J524" s="199">
        <f ca="1">IFERROR(__xludf.DUMMYFUNCTION("IMPORTRANGE(""https://docs.google.com/spreadsheets/d/1muirlRDkqiswvy_NRZ3Yh955hx-PF6_HhssUYiSJj8o/edit?usp=sharing"",""กองทุน!J60"")"),10)</f>
        <v>10</v>
      </c>
      <c r="K524" s="200">
        <f t="shared" ca="1" si="116"/>
        <v>2.7173913043478262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IFERROR(__xludf.DUMMYFUNCTION("IMPORTRANGE(""https://docs.google.com/spreadsheets/d/1muirlRDkqiswvy_NRZ3Yh955hx-PF6_HhssUYiSJj8o/edit?usp=sharing"",""กองทุน!N60"")"),1734381.18)</f>
        <v>1734381.18</v>
      </c>
      <c r="J525" s="199">
        <f ca="1">IFERROR(__xludf.DUMMYFUNCTION("IMPORTRANGE(""https://docs.google.com/spreadsheets/d/1muirlRDkqiswvy_NRZ3Yh955hx-PF6_HhssUYiSJj8o/edit?usp=sharing"",""กองทุน!P60"")"),99817.4)</f>
        <v>99817.4</v>
      </c>
      <c r="K525" s="200">
        <f t="shared" ca="1" si="116"/>
        <v>5.7552169702394949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IFERROR(__xludf.DUMMYFUNCTION("IMPORTRANGE(""https://docs.google.com/spreadsheets/d/1muirlRDkqiswvy_NRZ3Yh955hx-PF6_HhssUYiSJj8o/edit?usp=sharing"",""กองทุน!M60"")"),121)</f>
        <v>121</v>
      </c>
      <c r="J526" s="199">
        <f ca="1">IFERROR(__xludf.DUMMYFUNCTION("IMPORTRANGE(""https://docs.google.com/spreadsheets/d/1muirlRDkqiswvy_NRZ3Yh955hx-PF6_HhssUYiSJj8o/edit?usp=sharing"",""กองทุน!O60"")"),9)</f>
        <v>9</v>
      </c>
      <c r="K526" s="200">
        <f t="shared" ca="1" si="116"/>
        <v>7.4380165289256199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IFERROR(__xludf.DUMMYFUNCTION("IMPORTRANGE(""https://docs.google.com/spreadsheets/d/1muirlRDkqiswvy_NRZ3Yh955hx-PF6_HhssUYiSJj8o/edit?usp=sharing"",""กองทุน!S60"")"),4000000)</f>
        <v>4000000</v>
      </c>
      <c r="J527" s="199">
        <f ca="1">IFERROR(__xludf.DUMMYFUNCTION("IMPORTRANGE(""https://docs.google.com/spreadsheets/d/1muirlRDkqiswvy_NRZ3Yh955hx-PF6_HhssUYiSJj8o/edit?usp=sharing"",""กองทุน!U60"")"),0)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IFERROR(__xludf.DUMMYFUNCTION("IMPORTRANGE(""https://docs.google.com/spreadsheets/d/1muirlRDkqiswvy_NRZ3Yh955hx-PF6_HhssUYiSJj8o/edit?usp=sharing"",""กองทุน!R60"")"),200)</f>
        <v>200</v>
      </c>
      <c r="J528" s="324">
        <f ca="1">IFERROR(__xludf.DUMMYFUNCTION("IMPORTRANGE(""https://docs.google.com/spreadsheets/d/1muirlRDkqiswvy_NRZ3Yh955hx-PF6_HhssUYiSJj8o/edit?usp=sharing"",""กองทุน!T60"")"),0)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A5" sqref="A5:G5"/>
      <selection pane="bottomLeft" activeCell="A5" sqref="A5:G5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68" t="s">
        <v>0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</row>
    <row r="2" spans="1:14" ht="18" customHeight="1" x14ac:dyDescent="0.55000000000000004">
      <c r="A2" s="368" t="s">
        <v>222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</row>
    <row r="3" spans="1:14" ht="18" customHeight="1" x14ac:dyDescent="0.55000000000000004">
      <c r="A3" s="368" t="s">
        <v>247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70" t="s">
        <v>4</v>
      </c>
      <c r="B5" s="371"/>
      <c r="C5" s="371"/>
      <c r="D5" s="371"/>
      <c r="E5" s="371"/>
      <c r="F5" s="371"/>
      <c r="G5" s="372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2291135</v>
      </c>
      <c r="M6" s="16">
        <f t="shared" si="0"/>
        <v>61210</v>
      </c>
      <c r="N6" s="17">
        <f ca="1">IF(L6&gt;0,M6*100/L6,0)</f>
        <v>2.6716016297599223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IFERROR(__xludf.DUMMYFUNCTION("IMPORTRANGE(""https://docs.google.com/spreadsheets/d/1C3CXT74ZlgGe6_JY_1olB1XN4rF0dxEuIIF-xsYjHgg/edit?usp=sharing"",""พรบ!C61"")"),0)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66"/>
      <c r="K13" s="232"/>
      <c r="L13" s="52">
        <f ca="1">IFERROR(__xludf.DUMMYFUNCTION("IMPORTRANGE(""https://docs.google.com/spreadsheets/d/1C3CXT74ZlgGe6_JY_1olB1XN4rF0dxEuIIF-xsYjHgg/edit?usp=sharing"",""พรบ!D61"")"),0)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66"/>
      <c r="K14" s="232"/>
      <c r="L14" s="52">
        <f ca="1">IFERROR(__xludf.DUMMYFUNCTION("IMPORTRANGE(""https://docs.google.com/spreadsheets/d/1C3CXT74ZlgGe6_JY_1olB1XN4rF0dxEuIIF-xsYjHgg/edit?usp=sharing"",""พรบ!E61"")"),0)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28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IFERROR(__xludf.DUMMYFUNCTION("IMPORTRANGE(""https://docs.google.com/spreadsheets/d/1C3CXT74ZlgGe6_JY_1olB1XN4rF0dxEuIIF-xsYjHgg/edit?usp=sharing"",""พรบ!H61"")"),0)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IFERROR(__xludf.DUMMYFUNCTION("IMPORTRANGE(""https://docs.google.com/spreadsheets/d/1C3CXT74ZlgGe6_JY_1olB1XN4rF0dxEuIIF-xsYjHgg/edit?usp=sharing"",""พรบ!I61"")"),0)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IFERROR(__xludf.DUMMYFUNCTION("IMPORTRANGE(""https://docs.google.com/spreadsheets/d/1C3CXT74ZlgGe6_JY_1olB1XN4rF0dxEuIIF-xsYjHgg/edit?usp=sharing"",""พรบ!J61"")"),0)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IFERROR(__xludf.DUMMYFUNCTION("IMPORTRANGE(""https://docs.google.com/spreadsheets/d/1C3CXT74ZlgGe6_JY_1olB1XN4rF0dxEuIIF-xsYjHgg/edit?usp=sharing"",""พรบ!K61"")"),0)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IFERROR(__xludf.DUMMYFUNCTION("IMPORTRANGE(""https://docs.google.com/spreadsheets/d/1C3CXT74ZlgGe6_JY_1olB1XN4rF0dxEuIIF-xsYjHgg/edit?usp=sharing"",""พรบ!L61"")"),0)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IFERROR(__xludf.DUMMYFUNCTION("IMPORTRANGE(""https://docs.google.com/spreadsheets/d/1C3CXT74ZlgGe6_JY_1olB1XN4rF0dxEuIIF-xsYjHgg/edit?usp=sharing"",""พรบ!M61"")"),0)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IFERROR(__xludf.DUMMYFUNCTION("IMPORTRANGE(""https://docs.google.com/spreadsheets/d/1C3CXT74ZlgGe6_JY_1olB1XN4rF0dxEuIIF-xsYjHgg/edit?usp=sharing"",""พรบ!N61"")"),0)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6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122100</v>
      </c>
      <c r="M32" s="96">
        <f>SUM(M34:M35)</f>
        <v>4880</v>
      </c>
      <c r="N32" s="39">
        <f ca="1">IF(L32&gt;0,M32*100/L32,0)</f>
        <v>3.9967239967239969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1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IFERROR(__xludf.DUMMYFUNCTION("IMPORTRANGE(""https://docs.google.com/spreadsheets/d/1C3CXT74ZlgGe6_JY_1olB1XN4rF0dxEuIIF-xsYjHgg/edit?usp=sharing"",""พรบ!O61"")"),122100)</f>
        <v>122100</v>
      </c>
      <c r="M35" s="49">
        <f>SUM(M36:M37)</f>
        <v>4880</v>
      </c>
      <c r="N35" s="49">
        <f t="shared" ca="1" si="10"/>
        <v>3.9967239967239969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IFERROR(__xludf.DUMMYFUNCTION("IMPORTRANGE(""https://docs.google.com/spreadsheets/d/1C3CXT74ZlgGe6_JY_1olB1XN4rF0dxEuIIF-xsYjHgg/edit?usp=sharing"",""พรบ!P61"")"),0)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47"/>
      <c r="K37" s="48"/>
      <c r="L37" s="52">
        <f ca="1">IFERROR(__xludf.DUMMYFUNCTION("IMPORTRANGE(""https://docs.google.com/spreadsheets/d/1C3CXT74ZlgGe6_JY_1olB1XN4rF0dxEuIIF-xsYjHgg/edit?usp=sharing"",""พรบ!Q61"")"),122100)</f>
        <v>122100</v>
      </c>
      <c r="M37" s="53">
        <v>4880</v>
      </c>
      <c r="N37" s="52">
        <f t="shared" ca="1" si="10"/>
        <v>3.9967239967239969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47"/>
      <c r="K38" s="48"/>
      <c r="L38" s="60"/>
      <c r="M38" s="60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7">
        <v>1</v>
      </c>
      <c r="K39" s="48"/>
      <c r="L39" s="60"/>
      <c r="M39" s="60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7">
        <v>0</v>
      </c>
      <c r="K40" s="48"/>
      <c r="L40" s="60" t="s">
        <v>21</v>
      </c>
      <c r="M40" s="60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7">
        <v>0</v>
      </c>
      <c r="K41" s="48"/>
      <c r="L41" s="60"/>
      <c r="M41" s="60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7">
        <v>0</v>
      </c>
      <c r="K42" s="48"/>
      <c r="L42" s="60"/>
      <c r="M42" s="60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IFERROR(__xludf.DUMMYFUNCTION("IMPORTRANGE(""https://docs.google.com/spreadsheets/d/1C3CXT74ZlgGe6_JY_1olB1XN4rF0dxEuIIF-xsYjHgg/edit?usp=sharing"",""พรบ!R61"")"),1)</f>
        <v>1</v>
      </c>
      <c r="J43" s="67">
        <v>0</v>
      </c>
      <c r="K43" s="48">
        <f t="shared" ref="K43:K48" ca="1" si="11">IF(I43&gt;0,J43*100/I43,0)</f>
        <v>0</v>
      </c>
      <c r="L43" s="60"/>
      <c r="M43" s="60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IFERROR(__xludf.DUMMYFUNCTION("IMPORTRANGE(""https://docs.google.com/spreadsheets/d/1C3CXT74ZlgGe6_JY_1olB1XN4rF0dxEuIIF-xsYjHgg/edit?usp=sharing"",""พรบ!S61"")"),4)</f>
        <v>4</v>
      </c>
      <c r="J44" s="67">
        <v>0</v>
      </c>
      <c r="K44" s="48">
        <f t="shared" ca="1" si="11"/>
        <v>0</v>
      </c>
      <c r="L44" s="60"/>
      <c r="M44" s="60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IFERROR(__xludf.DUMMYFUNCTION("IMPORTRANGE(""https://docs.google.com/spreadsheets/d/1C3CXT74ZlgGe6_JY_1olB1XN4rF0dxEuIIF-xsYjHgg/edit?usp=sharing"",""พรบ!T61"")"),4)</f>
        <v>4</v>
      </c>
      <c r="J45" s="67">
        <v>0</v>
      </c>
      <c r="K45" s="48">
        <f t="shared" ca="1" si="11"/>
        <v>0</v>
      </c>
      <c r="L45" s="60"/>
      <c r="M45" s="60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IFERROR(__xludf.DUMMYFUNCTION("IMPORTRANGE(""https://docs.google.com/spreadsheets/d/1C3CXT74ZlgGe6_JY_1olB1XN4rF0dxEuIIF-xsYjHgg/edit?usp=sharing"",""พรบ!U61"")"),4)</f>
        <v>4</v>
      </c>
      <c r="J46" s="67">
        <v>0</v>
      </c>
      <c r="K46" s="48">
        <f t="shared" ca="1" si="11"/>
        <v>0</v>
      </c>
      <c r="L46" s="60"/>
      <c r="M46" s="60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IFERROR(__xludf.DUMMYFUNCTION("IMPORTRANGE(""https://docs.google.com/spreadsheets/d/1C3CXT74ZlgGe6_JY_1olB1XN4rF0dxEuIIF-xsYjHgg/edit?usp=sharing"",""พรบ!V61"")"),4)</f>
        <v>4</v>
      </c>
      <c r="J47" s="67">
        <v>0</v>
      </c>
      <c r="K47" s="48">
        <f t="shared" ca="1" si="11"/>
        <v>0</v>
      </c>
      <c r="L47" s="60"/>
      <c r="M47" s="60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IFERROR(__xludf.DUMMYFUNCTION("IMPORTRANGE(""https://docs.google.com/spreadsheets/d/1C3CXT74ZlgGe6_JY_1olB1XN4rF0dxEuIIF-xsYjHgg/edit?usp=sharing"",""พรบ!W61"")"),1)</f>
        <v>1</v>
      </c>
      <c r="J48" s="67">
        <v>0</v>
      </c>
      <c r="K48" s="48">
        <f t="shared" ca="1" si="11"/>
        <v>0</v>
      </c>
      <c r="L48" s="60"/>
      <c r="M48" s="60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7"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84"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20</v>
      </c>
      <c r="J52" s="38">
        <f>+J62</f>
        <v>0</v>
      </c>
      <c r="K52" s="39">
        <f ca="1">IF(I52&gt;0,J52*100/I52,0)</f>
        <v>0</v>
      </c>
      <c r="L52" s="40">
        <f ca="1">L53+L54</f>
        <v>82440</v>
      </c>
      <c r="M52" s="40">
        <f>SUM(M53:M54)</f>
        <v>19260</v>
      </c>
      <c r="N52" s="39">
        <f ca="1">IF(L52&gt;0,M52*100/L52,0)</f>
        <v>23.362445414847162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82440</v>
      </c>
      <c r="M54" s="49">
        <f t="shared" si="13"/>
        <v>19260</v>
      </c>
      <c r="N54" s="49">
        <f t="shared" ca="1" si="12"/>
        <v>23.362445414847162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IFERROR(__xludf.DUMMYFUNCTION("IMPORTRANGE(""https://docs.google.com/spreadsheets/d/1C3CXT74ZlgGe6_JY_1olB1XN4rF0dxEuIIF-xsYjHgg/edit?usp=sharing"",""พรบ!Y61"")"),0)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47"/>
      <c r="K56" s="48"/>
      <c r="L56" s="52">
        <f ca="1">IFERROR(__xludf.DUMMYFUNCTION("IMPORTRANGE(""https://docs.google.com/spreadsheets/d/1C3CXT74ZlgGe6_JY_1olB1XN4rF0dxEuIIF-xsYjHgg/edit?usp=sharing"",""พรบ!Z61"")"),82440)</f>
        <v>82440</v>
      </c>
      <c r="M56" s="53">
        <v>19260</v>
      </c>
      <c r="N56" s="52">
        <f t="shared" ca="1" si="12"/>
        <v>23.362445414847162</v>
      </c>
    </row>
    <row r="57" spans="1:14" ht="21.75" customHeight="1" x14ac:dyDescent="0.55000000000000004">
      <c r="A57" s="54"/>
      <c r="B57" s="55"/>
      <c r="C57" s="42" t="s">
        <v>17</v>
      </c>
      <c r="D57" s="56" t="s">
        <v>246</v>
      </c>
      <c r="E57" s="57"/>
      <c r="F57" s="57"/>
      <c r="G57" s="58"/>
      <c r="H57" s="59"/>
      <c r="I57" s="47"/>
      <c r="J57" s="47"/>
      <c r="K57" s="48"/>
      <c r="L57" s="60"/>
      <c r="M57" s="60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7">
        <v>0</v>
      </c>
      <c r="K58" s="48"/>
      <c r="L58" s="60"/>
      <c r="M58" s="60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7">
        <v>1</v>
      </c>
      <c r="K59" s="48"/>
      <c r="L59" s="60" t="s">
        <v>21</v>
      </c>
      <c r="M59" s="60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7">
        <v>1</v>
      </c>
      <c r="K60" s="48"/>
      <c r="L60" s="60"/>
      <c r="M60" s="60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7">
        <v>1</v>
      </c>
      <c r="K61" s="48"/>
      <c r="L61" s="60"/>
      <c r="M61" s="60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IFERROR(__xludf.DUMMYFUNCTION("IMPORTRANGE(""https://docs.google.com/spreadsheets/d/1C3CXT74ZlgGe6_JY_1olB1XN4rF0dxEuIIF-xsYjHgg/edit?usp=sharing"",""พรบ!AA61"")"),20)</f>
        <v>20</v>
      </c>
      <c r="J62" s="67"/>
      <c r="K62" s="48">
        <f t="shared" ref="K62:K63" ca="1" si="14">IF(I62&gt;0,J62*100/I62,0)</f>
        <v>0</v>
      </c>
      <c r="L62" s="60"/>
      <c r="M62" s="60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20</v>
      </c>
      <c r="J63" s="67">
        <v>0</v>
      </c>
      <c r="K63" s="48">
        <f t="shared" ca="1" si="14"/>
        <v>0</v>
      </c>
      <c r="L63" s="60"/>
      <c r="M63" s="60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7">
        <v>0</v>
      </c>
      <c r="K64" s="48"/>
      <c r="L64" s="60"/>
      <c r="M64" s="60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112">
        <v>0</v>
      </c>
      <c r="K65" s="113"/>
      <c r="L65" s="114"/>
      <c r="M65" s="114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95</v>
      </c>
      <c r="J68" s="136">
        <f t="shared" si="15"/>
        <v>1</v>
      </c>
      <c r="K68" s="137">
        <f ca="1">IF(I68&gt;0,J68*100/I68,0)</f>
        <v>1.0526315789473684</v>
      </c>
      <c r="L68" s="138">
        <f t="shared" ref="L68:M68" ca="1" si="16">SUM(L70:L71)</f>
        <v>842400</v>
      </c>
      <c r="M68" s="138">
        <f t="shared" si="16"/>
        <v>37070</v>
      </c>
      <c r="N68" s="137">
        <f ca="1">IF(L68&gt;0,M68*100/L68,0)</f>
        <v>4.400522317188984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842400</v>
      </c>
      <c r="M71" s="139">
        <f>SUM(M72:M73)</f>
        <v>37070</v>
      </c>
      <c r="N71" s="49">
        <f t="shared" ca="1" si="17"/>
        <v>4.400522317188984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IFERROR(__xludf.DUMMYFUNCTION("IMPORTRANGE(""https://docs.google.com/spreadsheets/d/1C3CXT74ZlgGe6_JY_1olB1XN4rF0dxEuIIF-xsYjHgg/edit?usp=sharing"",""พรบ!AD61"")"),311500)</f>
        <v>311500</v>
      </c>
      <c r="M72" s="53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530900</v>
      </c>
      <c r="M73" s="52">
        <f t="shared" si="18"/>
        <v>37070</v>
      </c>
      <c r="N73" s="52">
        <f t="shared" ca="1" si="17"/>
        <v>6.9824825767564516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IFERROR(__xludf.DUMMYFUNCTION("IMPORTRANGE(""https://docs.google.com/spreadsheets/d/1C3CXT74ZlgGe6_JY_1olB1XN4rF0dxEuIIF-xsYjHgg/edit?usp=sharing"",""พรบ!AF61"")"),7500)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1</v>
      </c>
      <c r="K79" s="48"/>
      <c r="L79" s="60"/>
      <c r="M79" s="60" t="s">
        <v>223</v>
      </c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IFERROR(__xludf.DUMMYFUNCTION("IMPORTRANGE(""https://docs.google.com/spreadsheets/d/1C3CXT74ZlgGe6_JY_1olB1XN4rF0dxEuIIF-xsYjHgg/edit?usp=sharing"",""พรบ!AG61"")"),4)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67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67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4</v>
      </c>
      <c r="J89" s="149">
        <f t="shared" si="21"/>
        <v>0</v>
      </c>
      <c r="K89" s="150">
        <f ca="1">IF(I89&gt;0,J89*100/I89,0)</f>
        <v>0</v>
      </c>
      <c r="L89" s="147">
        <f ca="1">L90+L91</f>
        <v>56000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56000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IFERROR(__xludf.DUMMYFUNCTION("IMPORTRANGE(""https://docs.google.com/spreadsheets/d/1C3CXT74ZlgGe6_JY_1olB1XN4rF0dxEuIIF-xsYjHgg/edit?usp=sharing"",""พรบ!AH61"")"),56000)</f>
        <v>56000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1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IFERROR(__xludf.DUMMYFUNCTION("IMPORTRANGE(""https://docs.google.com/spreadsheets/d/1C3CXT74ZlgGe6_JY_1olB1XN4rF0dxEuIIF-xsYjHgg/edit?usp=sharing"",""พรบ!AI61"")"),4)</f>
        <v>4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IFERROR(__xludf.DUMMYFUNCTION("IMPORTRANGE(""https://docs.google.com/spreadsheets/d/1C3CXT74ZlgGe6_JY_1olB1XN4rF0dxEuIIF-xsYjHgg/edit?usp=sharing"",""กปร!C61"")"),48000)</f>
        <v>48000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3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45000</v>
      </c>
      <c r="M101" s="147">
        <f>SUM(M102:M103)</f>
        <v>5030</v>
      </c>
      <c r="N101" s="147">
        <f t="shared" ref="N101:N104" ca="1" si="25">+IF(L101&gt;0,M101*100/L101,0)</f>
        <v>11.177777777777777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45000</v>
      </c>
      <c r="M103" s="49">
        <f>M104</f>
        <v>5030</v>
      </c>
      <c r="N103" s="49">
        <f t="shared" ca="1" si="25"/>
        <v>11.177777777777777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47"/>
      <c r="K104" s="48"/>
      <c r="L104" s="52">
        <f ca="1">IFERROR(__xludf.DUMMYFUNCTION("IMPORTRANGE(""https://docs.google.com/spreadsheets/d/1C3CXT74ZlgGe6_JY_1olB1XN4rF0dxEuIIF-xsYjHgg/edit?usp=sharing"",""พรบ!AJ61"")"),45000)</f>
        <v>45000</v>
      </c>
      <c r="M104" s="53">
        <v>5030</v>
      </c>
      <c r="N104" s="52">
        <f t="shared" ca="1" si="25"/>
        <v>11.177777777777777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47"/>
      <c r="K105" s="48"/>
      <c r="L105" s="60"/>
      <c r="M105" s="60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7">
        <v>1</v>
      </c>
      <c r="K106" s="48"/>
      <c r="L106" s="60"/>
      <c r="M106" s="60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7">
        <v>0</v>
      </c>
      <c r="K107" s="48"/>
      <c r="L107" s="60" t="s">
        <v>21</v>
      </c>
      <c r="M107" s="60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7">
        <v>0</v>
      </c>
      <c r="K108" s="48"/>
      <c r="L108" s="60"/>
      <c r="M108" s="60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7">
        <v>0</v>
      </c>
      <c r="K109" s="48"/>
      <c r="L109" s="60"/>
      <c r="M109" s="60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IFERROR(__xludf.DUMMYFUNCTION("IMPORTRANGE(""https://docs.google.com/spreadsheets/d/1C3CXT74ZlgGe6_JY_1olB1XN4rF0dxEuIIF-xsYjHgg/edit?usp=sharing"",""พรบ!AK61"")"),3)</f>
        <v>3</v>
      </c>
      <c r="J110" s="67">
        <v>0</v>
      </c>
      <c r="K110" s="48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IFERROR(__xludf.DUMMYFUNCTION("IMPORTRANGE(""https://docs.google.com/spreadsheets/d/1C3CXT74ZlgGe6_JY_1olB1XN4rF0dxEuIIF-xsYjHgg/edit?usp=sharing"",""กปร!D61"")"),15000)</f>
        <v>15000</v>
      </c>
      <c r="M110" s="361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IFERROR(__xludf.DUMMYFUNCTION("IMPORTRANGE(""https://docs.google.com/spreadsheets/d/1C3CXT74ZlgGe6_JY_1olB1XN4rF0dxEuIIF-xsYjHgg/edit?usp=sharing"",""พรบ!AL61"")"),3)</f>
        <v>3</v>
      </c>
      <c r="J111" s="67">
        <v>0</v>
      </c>
      <c r="K111" s="48">
        <f t="shared" ca="1" si="26"/>
        <v>0</v>
      </c>
      <c r="L111" s="52">
        <f ca="1">IFERROR(__xludf.DUMMYFUNCTION("IMPORTRANGE(""https://docs.google.com/spreadsheets/d/1C3CXT74ZlgGe6_JY_1olB1XN4rF0dxEuIIF-xsYjHgg/edit?usp=sharing"",""กปร!E61"")"),24000)</f>
        <v>24000</v>
      </c>
      <c r="M111" s="361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7">
        <v>0</v>
      </c>
      <c r="K112" s="48"/>
      <c r="L112" s="60"/>
      <c r="M112" s="60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84">
        <v>0</v>
      </c>
      <c r="K113" s="48"/>
      <c r="L113" s="60"/>
      <c r="M113" s="60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40000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31000</v>
      </c>
      <c r="M114" s="147">
        <f>SUM(M115:M116)</f>
        <v>15000</v>
      </c>
      <c r="N114" s="147">
        <f t="shared" ref="N114:N117" ca="1" si="29">+IF(L114&gt;0,M114*100/L114,0)</f>
        <v>48.387096774193552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31000</v>
      </c>
      <c r="M116" s="49">
        <f>M117</f>
        <v>15000</v>
      </c>
      <c r="N116" s="49">
        <f t="shared" ca="1" si="29"/>
        <v>48.387096774193552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IFERROR(__xludf.DUMMYFUNCTION("IMPORTRANGE(""https://docs.google.com/spreadsheets/d/1C3CXT74ZlgGe6_JY_1olB1XN4rF0dxEuIIF-xsYjHgg/edit?usp=sharing"",""พรบ!AM61"")"),31000)</f>
        <v>31000</v>
      </c>
      <c r="M117" s="53">
        <v>15000</v>
      </c>
      <c r="N117" s="52">
        <f t="shared" ca="1" si="29"/>
        <v>48.387096774193552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1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1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1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IFERROR(__xludf.DUMMYFUNCTION("IMPORTRANGE(""https://docs.google.com/spreadsheets/d/1C3CXT74ZlgGe6_JY_1olB1XN4rF0dxEuIIF-xsYjHgg/edit?usp=sharing"",""พรบ!AO61"")"),40000)</f>
        <v>40000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IFERROR(__xludf.DUMMYFUNCTION("IMPORTRANGE(""https://docs.google.com/spreadsheets/d/1C3CXT74ZlgGe6_JY_1olB1XN4rF0dxEuIIF-xsYjHgg/edit?usp=sharing"",""พรบ!AP61"")"),40000)</f>
        <v>40000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IFERROR(__xludf.DUMMYFUNCTION("IMPORTRANGE(""https://docs.google.com/spreadsheets/d/1C3CXT74ZlgGe6_JY_1olB1XN4rF0dxEuIIF-xsYjHgg/edit?usp=sharing"",""กปร!F61"")"),10000)</f>
        <v>10000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IFERROR(__xludf.DUMMYFUNCTION("IMPORTRANGE(""https://docs.google.com/spreadsheets/d/1C3CXT74ZlgGe6_JY_1olB1XN4rF0dxEuIIF-xsYjHgg/edit?usp=sharing"",""พรบ!AQ61"")"),15)</f>
        <v>15</v>
      </c>
      <c r="J126" s="67">
        <v>1</v>
      </c>
      <c r="K126" s="48">
        <f t="shared" ca="1" si="30"/>
        <v>6.666666666666667</v>
      </c>
      <c r="L126" s="52">
        <f ca="1">IFERROR(__xludf.DUMMYFUNCTION("IMPORTRANGE(""https://docs.google.com/spreadsheets/d/1C3CXT74ZlgGe6_JY_1olB1XN4rF0dxEuIIF-xsYjHgg/edit?usp=sharing"",""กปร!G61"")"),15000)</f>
        <v>15000</v>
      </c>
      <c r="M126" s="361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224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80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391400</v>
      </c>
      <c r="M129" s="147">
        <f>SUM(M130:M131)</f>
        <v>17040</v>
      </c>
      <c r="N129" s="147">
        <f t="shared" ref="N129:N132" ca="1" si="33">+IF(L129&gt;0,M129*100/L129,0)</f>
        <v>4.3536024527337762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391400</v>
      </c>
      <c r="M131" s="49">
        <f>M132</f>
        <v>17040</v>
      </c>
      <c r="N131" s="49">
        <f t="shared" ca="1" si="33"/>
        <v>4.3536024527337762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47"/>
      <c r="K132" s="48"/>
      <c r="L132" s="52">
        <f ca="1">IFERROR(__xludf.DUMMYFUNCTION("IMPORTRANGE(""https://docs.google.com/spreadsheets/d/1C3CXT74ZlgGe6_JY_1olB1XN4rF0dxEuIIF-xsYjHgg/edit?usp=sharing"",""พรบ!AR61"")"),391400)</f>
        <v>391400</v>
      </c>
      <c r="M132" s="53">
        <v>17040</v>
      </c>
      <c r="N132" s="52">
        <f t="shared" ca="1" si="33"/>
        <v>4.3536024527337762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47"/>
      <c r="K133" s="48"/>
      <c r="L133" s="60"/>
      <c r="M133" s="60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7">
        <v>0</v>
      </c>
      <c r="K134" s="48"/>
      <c r="L134" s="60"/>
      <c r="M134" s="60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7">
        <v>1</v>
      </c>
      <c r="K135" s="48"/>
      <c r="L135" s="60" t="s">
        <v>21</v>
      </c>
      <c r="M135" s="60"/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7">
        <v>0</v>
      </c>
      <c r="K136" s="48"/>
      <c r="L136" s="60"/>
      <c r="M136" s="60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7">
        <v>0</v>
      </c>
      <c r="K137" s="48"/>
      <c r="L137" s="52">
        <f ca="1">IFERROR(__xludf.DUMMYFUNCTION("IMPORTRANGE(""https://docs.google.com/spreadsheets/d/1C3CXT74ZlgGe6_JY_1olB1XN4rF0dxEuIIF-xsYjHgg/edit?usp=sharing"",""กปร!H61"")"),102400)</f>
        <v>102400</v>
      </c>
      <c r="M137" s="52">
        <f>M138+M139</f>
        <v>0</v>
      </c>
      <c r="N137" s="52">
        <f t="shared" ref="N137:N141" ca="1" si="34">+IF(L137&gt;0,M137*100/L137,0)</f>
        <v>0</v>
      </c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IFERROR(__xludf.DUMMYFUNCTION("IMPORTRANGE(""https://docs.google.com/spreadsheets/d/1C3CXT74ZlgGe6_JY_1olB1XN4rF0dxEuIIF-xsYjHgg/edit?usp=sharing"",""พรบ!AS61"")"),80)</f>
        <v>80</v>
      </c>
      <c r="J138" s="67">
        <v>0</v>
      </c>
      <c r="K138" s="48">
        <f ca="1">IF(I138&gt;0,J138*100/I138,0)</f>
        <v>0</v>
      </c>
      <c r="L138" s="367">
        <v>56200</v>
      </c>
      <c r="M138" s="366">
        <v>0</v>
      </c>
      <c r="N138" s="365">
        <f t="shared" si="34"/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48"/>
      <c r="L139" s="367">
        <v>46200</v>
      </c>
      <c r="M139" s="366">
        <v>0</v>
      </c>
      <c r="N139" s="365">
        <f t="shared" si="34"/>
        <v>0</v>
      </c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IFERROR(__xludf.DUMMYFUNCTION("IMPORTRANGE(""https://docs.google.com/spreadsheets/d/1C3CXT74ZlgGe6_JY_1olB1XN4rF0dxEuIIF-xsYjHgg/edit?usp=sharing"",""พรบ!AT61"")"),41)</f>
        <v>41</v>
      </c>
      <c r="J140" s="67">
        <v>0</v>
      </c>
      <c r="K140" s="48">
        <f t="shared" ref="K140:K141" ca="1" si="35">IF(I140&gt;0,J140*100/I140,0)</f>
        <v>0</v>
      </c>
      <c r="L140" s="52">
        <f ca="1">IFERROR(__xludf.DUMMYFUNCTION("IMPORTRANGE(""https://docs.google.com/spreadsheets/d/1C3CXT74ZlgGe6_JY_1olB1XN4rF0dxEuIIF-xsYjHgg/edit?usp=sharing"",""กปร!I61"")"),100000)</f>
        <v>100000</v>
      </c>
      <c r="M140" s="361">
        <v>0</v>
      </c>
      <c r="N140" s="52">
        <f t="shared" ca="1" si="34"/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IFERROR(__xludf.DUMMYFUNCTION("IMPORTRANGE(""https://docs.google.com/spreadsheets/d/1C3CXT74ZlgGe6_JY_1olB1XN4rF0dxEuIIF-xsYjHgg/edit?usp=sharing"",""พรบ!AU61"")"),0)</f>
        <v>0</v>
      </c>
      <c r="J141" s="67">
        <v>0</v>
      </c>
      <c r="K141" s="48">
        <f t="shared" ca="1" si="35"/>
        <v>0</v>
      </c>
      <c r="L141" s="52">
        <f ca="1">IFERROR(__xludf.DUMMYFUNCTION("IMPORTRANGE(""https://docs.google.com/spreadsheets/d/1C3CXT74ZlgGe6_JY_1olB1XN4rF0dxEuIIF-xsYjHgg/edit?usp=sharing"",""กปร!J61"")"),10000)</f>
        <v>10000</v>
      </c>
      <c r="M141" s="361">
        <v>0</v>
      </c>
      <c r="N141" s="52">
        <f t="shared" ca="1" si="34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7">
        <v>0</v>
      </c>
      <c r="K142" s="48"/>
      <c r="L142" s="60"/>
      <c r="M142" s="60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112">
        <v>0</v>
      </c>
      <c r="K143" s="113"/>
      <c r="L143" s="114"/>
      <c r="M143" s="114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15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21125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21125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IFERROR(__xludf.DUMMYFUNCTION("IMPORTRANGE(""https://docs.google.com/spreadsheets/d/1C3CXT74ZlgGe6_JY_1olB1XN4rF0dxEuIIF-xsYjHgg/edit?usp=sharing"",""พรบ!AY61"")"),21125)</f>
        <v>21125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15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IFERROR(__xludf.DUMMYFUNCTION("IMPORTRANGE(""https://docs.google.com/spreadsheets/d/1C3CXT74ZlgGe6_JY_1olB1XN4rF0dxEuIIF-xsYjHgg/edit?usp=sharing"",""พรบ!BA61"")"),15)</f>
        <v>15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20</v>
      </c>
      <c r="J169" s="177">
        <f>+J180</f>
        <v>0</v>
      </c>
      <c r="K169" s="178">
        <f ca="1">IF(I169&gt;0,J169*100/I169,0)</f>
        <v>0</v>
      </c>
      <c r="L169" s="179">
        <f ca="1">L170+L171</f>
        <v>71400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71400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47"/>
      <c r="K172" s="48"/>
      <c r="L172" s="52">
        <f ca="1">IFERROR(__xludf.DUMMYFUNCTION("IMPORTRANGE(""https://docs.google.com/spreadsheets/d/1C3CXT74ZlgGe6_JY_1olB1XN4rF0dxEuIIF-xsYjHgg/edit?usp=sharing"",""พรบ!BD61"")"),0)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47"/>
      <c r="K173" s="48"/>
      <c r="L173" s="52">
        <f ca="1">IFERROR(__xludf.DUMMYFUNCTION("IMPORTRANGE(""https://docs.google.com/spreadsheets/d/1C3CXT74ZlgGe6_JY_1olB1XN4rF0dxEuIIF-xsYjHgg/edit?usp=sharing"",""พรบ!BE61"")"),71400)</f>
        <v>71400</v>
      </c>
      <c r="M173" s="53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v>1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v>0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v>0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v>0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IFERROR(__xludf.DUMMYFUNCTION("IMPORTRANGE(""https://docs.google.com/spreadsheets/d/1C3CXT74ZlgGe6_JY_1olB1XN4rF0dxEuIIF-xsYjHgg/edit?usp=sharing"",""พรบ!BF61"")"),1)</f>
        <v>1</v>
      </c>
      <c r="J179" s="67">
        <v>0</v>
      </c>
      <c r="K179" s="48">
        <f t="shared" ref="K179:K182" ca="1" si="41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IFERROR(__xludf.DUMMYFUNCTION("IMPORTRANGE(""https://docs.google.com/spreadsheets/d/1C3CXT74ZlgGe6_JY_1olB1XN4rF0dxEuIIF-xsYjHgg/edit?usp=sharing"",""พรบ!BG61"")"),20)</f>
        <v>20</v>
      </c>
      <c r="J180" s="67">
        <v>0</v>
      </c>
      <c r="K180" s="48">
        <f t="shared" ca="1" si="41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IFERROR(__xludf.DUMMYFUNCTION("IMPORTRANGE(""https://docs.google.com/spreadsheets/d/1C3CXT74ZlgGe6_JY_1olB1XN4rF0dxEuIIF-xsYjHgg/edit?usp=sharing"",""พรบ!BH61"")"),20)</f>
        <v>20</v>
      </c>
      <c r="J181" s="67">
        <v>0</v>
      </c>
      <c r="K181" s="48">
        <f t="shared" ca="1" si="41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IFERROR(__xludf.DUMMYFUNCTION("IMPORTRANGE(""https://docs.google.com/spreadsheets/d/1C3CXT74ZlgGe6_JY_1olB1XN4rF0dxEuIIF-xsYjHgg/edit?usp=sharing"",""พรบ!BI61"")"),1)</f>
        <v>1</v>
      </c>
      <c r="J182" s="67">
        <v>0</v>
      </c>
      <c r="K182" s="48">
        <f t="shared" ca="1" si="41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v>0</v>
      </c>
      <c r="K183" s="48"/>
      <c r="L183" s="60"/>
      <c r="M183" s="60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112">
        <v>0</v>
      </c>
      <c r="K184" s="113"/>
      <c r="L184" s="114"/>
      <c r="M184" s="114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20</v>
      </c>
      <c r="J185" s="177">
        <f>+J195</f>
        <v>0</v>
      </c>
      <c r="K185" s="178">
        <f ca="1">IF(I185&gt;0,J185*100/I185,0)</f>
        <v>0</v>
      </c>
      <c r="L185" s="179">
        <f ca="1">L186+L187</f>
        <v>183600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183600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IFERROR(__xludf.DUMMYFUNCTION("IMPORTRANGE(""https://docs.google.com/spreadsheets/d/1C3CXT74ZlgGe6_JY_1olB1XN4rF0dxEuIIF-xsYjHgg/edit?usp=sharing"",""พรบ!BK61"")"),0)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IFERROR(__xludf.DUMMYFUNCTION("IMPORTRANGE(""https://docs.google.com/spreadsheets/d/1C3CXT74ZlgGe6_JY_1olB1XN4rF0dxEuIIF-xsYjHgg/edit?usp=sharing"",""พรบ!BL61"")"),183600)</f>
        <v>183600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1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0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IFERROR(__xludf.DUMMYFUNCTION("IMPORTRANGE(""https://docs.google.com/spreadsheets/d/1C3CXT74ZlgGe6_JY_1olB1XN4rF0dxEuIIF-xsYjHgg/edit?usp=sharing"",""พรบ!BM61"")"),20)</f>
        <v>20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2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IFERROR(__xludf.DUMMYFUNCTION("IMPORTRANGE(""https://docs.google.com/spreadsheets/d/1C3CXT74ZlgGe6_JY_1olB1XN4rF0dxEuIIF-xsYjHgg/edit?usp=sharing"",""พรบ!BP61"")"),0)</f>
        <v>0</v>
      </c>
      <c r="M203" s="52">
        <v>0</v>
      </c>
      <c r="N203" s="52">
        <f>+IF(L613&gt;0,M613*100/L613,0)</f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IFERROR(__xludf.DUMMYFUNCTION("IMPORTRANGE(""https://docs.google.com/spreadsheets/d/1C3CXT74ZlgGe6_JY_1olB1XN4rF0dxEuIIF-xsYjHgg/edit?usp=sharing"",""พรบ!BQ61"")"),0)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IFERROR(__xludf.DUMMYFUNCTION("IMPORTRANGE(""https://docs.google.com/spreadsheets/d/1C3CXT74ZlgGe6_JY_1olB1XN4rF0dxEuIIF-xsYjHgg/edit?usp=sharing"",""พรบ!BR61"")"),0)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IFERROR(__xludf.DUMMYFUNCTION("IMPORTRANGE(""https://docs.google.com/spreadsheets/d/1C3CXT74ZlgGe6_JY_1olB1XN4rF0dxEuIIF-xsYjHgg/edit?usp=sharing"",""พรบ!BU61"")"),0)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IFERROR(__xludf.DUMMYFUNCTION("IMPORTRANGE(""https://docs.google.com/spreadsheets/d/1C3CXT74ZlgGe6_JY_1olB1XN4rF0dxEuIIF-xsYjHgg/edit?usp=sharing"",""พรบ!BV61"")"),0)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210</v>
      </c>
      <c r="J228" s="197">
        <f ca="1">J240</f>
        <v>10</v>
      </c>
      <c r="K228" s="178">
        <f ca="1">IF(I228&gt;0,J228*100/I228,0)</f>
        <v>4.7619047619047619</v>
      </c>
      <c r="L228" s="179">
        <f ca="1">L229+L230</f>
        <v>968070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968070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IFERROR(__xludf.DUMMYFUNCTION("IMPORTRANGE(""https://docs.google.com/spreadsheets/d/1C3CXT74ZlgGe6_JY_1olB1XN4rF0dxEuIIF-xsYjHgg/edit?usp=sharing"",""พรบ!BX61"")"),529200)</f>
        <v>529200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IFERROR(__xludf.DUMMYFUNCTION("IMPORTRANGE(""https://docs.google.com/spreadsheets/d/1C3CXT74ZlgGe6_JY_1olB1XN4rF0dxEuIIF-xsYjHgg/edit?usp=sharing"",""พรบ!BY61"")"),438870)</f>
        <v>438870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IFERROR(__xludf.DUMMYFUNCTION("IMPORTRANGE(""https://docs.google.com/spreadsheets/d/1AGHcLOeeYFL3K4b9R1dSzyJy00PE_ra89DNTVfnxSWM/edit?usp=sharing"",""รวมที่ทำกิน!J50"")"),54)</f>
        <v>54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IFERROR(__xludf.DUMMYFUNCTION("IMPORTRANGE(""https://docs.google.com/spreadsheets/d/1C3CXT74ZlgGe6_JY_1olB1XN4rF0dxEuIIF-xsYjHgg/edit?usp=sharing"",""พรบ!BZ61"")"),3160)</f>
        <v>3160</v>
      </c>
      <c r="J235" s="66">
        <f ca="1">IFERROR(__xludf.DUMMYFUNCTION("IMPORTRANGE(""https://docs.google.com/spreadsheets/d/1AGHcLOeeYFL3K4b9R1dSzyJy00PE_ra89DNTVfnxSWM/edit?usp=sharing"",""รวมที่ทำกิน!L50"")"),493.76)</f>
        <v>493.76</v>
      </c>
      <c r="K235" s="200">
        <f t="shared" ca="1" si="52"/>
        <v>15.625316455696202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IFERROR(__xludf.DUMMYFUNCTION("IMPORTRANGE(""https://docs.google.com/spreadsheets/d/1C3CXT74ZlgGe6_JY_1olB1XN4rF0dxEuIIF-xsYjHgg/edit?usp=sharing"",""พรบ!CA61"")"),210)</f>
        <v>210</v>
      </c>
      <c r="J236" s="66">
        <f ca="1">IFERROR(__xludf.DUMMYFUNCTION("IMPORTRANGE(""https://docs.google.com/spreadsheets/d/1AGHcLOeeYFL3K4b9R1dSzyJy00PE_ra89DNTVfnxSWM/edit?usp=sharing"",""รวมที่ทำกิน!O50"")"),71)</f>
        <v>71</v>
      </c>
      <c r="K236" s="200">
        <f t="shared" ca="1" si="52"/>
        <v>33.80952380952381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IFERROR(__xludf.DUMMYFUNCTION("IMPORTRANGE(""https://docs.google.com/spreadsheets/d/1AGHcLOeeYFL3K4b9R1dSzyJy00PE_ra89DNTVfnxSWM/edit?usp=sharing"",""รวมที่ทำกิน!Q50"")"),926.23)</f>
        <v>926.23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IFERROR(__xludf.DUMMYFUNCTION("IMPORTRANGE(""https://docs.google.com/spreadsheets/d/1C3CXT74ZlgGe6_JY_1olB1XN4rF0dxEuIIF-xsYjHgg/edit?usp=sharing"",""พรบ!CB61"")"),210)</f>
        <v>210</v>
      </c>
      <c r="J238" s="66">
        <f ca="1">IFERROR(__xludf.DUMMYFUNCTION("IMPORTRANGE(""https://docs.google.com/spreadsheets/d/1AGHcLOeeYFL3K4b9R1dSzyJy00PE_ra89DNTVfnxSWM/edit?usp=sharing"",""รวมที่ทำกิน!S50"")"),0)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IFERROR(__xludf.DUMMYFUNCTION("IMPORTRANGE(""https://docs.google.com/spreadsheets/d/1AGHcLOeeYFL3K4b9R1dSzyJy00PE_ra89DNTVfnxSWM/edit?usp=sharing"",""รวมที่ทำกิน!U50"")"),0)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IFERROR(__xludf.DUMMYFUNCTION("IMPORTRANGE(""https://docs.google.com/spreadsheets/d/1C3CXT74ZlgGe6_JY_1olB1XN4rF0dxEuIIF-xsYjHgg/edit?usp=sharing"",""พรบ!CC61"")"),210)</f>
        <v>210</v>
      </c>
      <c r="J240" s="66">
        <f ca="1">IFERROR(__xludf.DUMMYFUNCTION("IMPORTRANGE(""https://docs.google.com/spreadsheets/d/1AGHcLOeeYFL3K4b9R1dSzyJy00PE_ra89DNTVfnxSWM/edit?usp=sharing"",""รวมที่ทำกิน!W50"")"),10)</f>
        <v>10</v>
      </c>
      <c r="K240" s="200">
        <f t="shared" ca="1" si="52"/>
        <v>4.7619047619047619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IFERROR(__xludf.DUMMYFUNCTION("IMPORTRANGE(""https://docs.google.com/spreadsheets/d/1AGHcLOeeYFL3K4b9R1dSzyJy00PE_ra89DNTVfnxSWM/edit?usp=sharing"",""รวมที่ทำกิน!Y50"")"),135.62)</f>
        <v>135.62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2349719</v>
      </c>
      <c r="M242" s="213">
        <f t="shared" si="53"/>
        <v>38726</v>
      </c>
      <c r="N242" s="213">
        <f ca="1">+IF(L242&gt;0,M242*100/L242,0)</f>
        <v>1.648111965728668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64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324540</v>
      </c>
      <c r="M244" s="228">
        <f t="shared" si="56"/>
        <v>19493</v>
      </c>
      <c r="N244" s="228">
        <f ca="1">+IF(L244&gt;0,M244*100/L244,0)</f>
        <v>6.0063474456153321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54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324540</v>
      </c>
      <c r="M247" s="49">
        <f t="shared" si="58"/>
        <v>19493</v>
      </c>
      <c r="N247" s="49">
        <f t="shared" ca="1" si="57"/>
        <v>6.0063474456153321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IFERROR(__xludf.DUMMYFUNCTION("IMPORTRANGE(""https://docs.google.com/spreadsheets/d/1C3CXT74ZlgGe6_JY_1olB1XN4rF0dxEuIIF-xsYjHgg/edit?usp=sharing"",""งบกองทุน!d61"")"),0)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IFERROR(__xludf.DUMMYFUNCTION("IMPORTRANGE(""https://docs.google.com/spreadsheets/d/1C3CXT74ZlgGe6_JY_1olB1XN4rF0dxEuIIF-xsYjHgg/edit?usp=sharing"",""งบกองทุน!e61"")"),324540)</f>
        <v>324540</v>
      </c>
      <c r="M249" s="52">
        <f>SUM(M250:M253)</f>
        <v>19493</v>
      </c>
      <c r="N249" s="52">
        <f t="shared" ca="1" si="57"/>
        <v>6.0063474456153321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3">
        <v>17233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3">
        <v>2260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1</v>
      </c>
      <c r="K256" s="48"/>
      <c r="L256" s="60" t="s">
        <v>21</v>
      </c>
      <c r="M256" s="60"/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0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IFERROR(__xludf.DUMMYFUNCTION("IMPORTRANGE(""https://docs.google.com/spreadsheets/d/1C3CXT74ZlgGe6_JY_1olB1XN4rF0dxEuIIF-xsYjHgg/edit?usp=sharing"",""งบกองทุน!f61"")"),0)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64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IFERROR(__xludf.DUMMYFUNCTION("IMPORTRANGE(""https://docs.google.com/spreadsheets/d/1C3CXT74ZlgGe6_JY_1olB1XN4rF0dxEuIIF-xsYjHgg/edit?usp=sharing"",""งบกองทุน!H61"")"),54)</f>
        <v>54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IFERROR(__xludf.DUMMYFUNCTION("IMPORTRANGE(""https://docs.google.com/spreadsheets/d/1C3CXT74ZlgGe6_JY_1olB1XN4rF0dxEuIIF-xsYjHgg/edit?usp=sharing"",""งบกองทุน!i61"")"),44)</f>
        <v>44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54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IFERROR(__xludf.DUMMYFUNCTION("IMPORTRANGE(""https://docs.google.com/spreadsheets/d/1C3CXT74ZlgGe6_JY_1olB1XN4rF0dxEuIIF-xsYjHgg/edit?usp=sharing"",""งบกองทุน!k61"")"),20)</f>
        <v>20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54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IFERROR(__xludf.DUMMYFUNCTION("IMPORTRANGE(""https://docs.google.com/spreadsheets/d/1C3CXT74ZlgGe6_JY_1olB1XN4rF0dxEuIIF-xsYjHgg/edit?usp=sharing"",""งบกองทุน!m61"")"),0)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64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IFERROR(__xludf.DUMMYFUNCTION("IMPORTRANGE(""https://docs.google.com/spreadsheets/d/1C3CXT74ZlgGe6_JY_1olB1XN4rF0dxEuIIF-xsYjHgg/edit?usp=sharing"",""งบกองทุน!o61"")"),20)</f>
        <v>20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IFERROR(__xludf.DUMMYFUNCTION("IMPORTRANGE(""https://docs.google.com/spreadsheets/d/1C3CXT74ZlgGe6_JY_1olB1XN4rF0dxEuIIF-xsYjHgg/edit?usp=sharing"",""งบกองทุน!p61"")"),44)</f>
        <v>44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1000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1028520</v>
      </c>
      <c r="M275" s="228">
        <f t="shared" si="64"/>
        <v>1100</v>
      </c>
      <c r="N275" s="228">
        <f ca="1">+IF(L275&gt;0,M275*100/L275,0)</f>
        <v>0.10694979193404115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100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1028520</v>
      </c>
      <c r="M278" s="49">
        <f t="shared" si="66"/>
        <v>1100</v>
      </c>
      <c r="N278" s="49">
        <f t="shared" ca="1" si="65"/>
        <v>0.10694979193404115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IFERROR(__xludf.DUMMYFUNCTION("IMPORTRANGE(""https://docs.google.com/spreadsheets/d/1C3CXT74ZlgGe6_JY_1olB1XN4rF0dxEuIIF-xsYjHgg/edit?usp=sharing"",""งบกองทุน!r61"")"),0)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IFERROR(__xludf.DUMMYFUNCTION("IMPORTRANGE(""https://docs.google.com/spreadsheets/d/1C3CXT74ZlgGe6_JY_1olB1XN4rF0dxEuIIF-xsYjHgg/edit?usp=sharing"",""งบกองทุน!s61"")"),1028520)</f>
        <v>1028520</v>
      </c>
      <c r="M280" s="52">
        <f>SUM(M281:M284)</f>
        <v>1100</v>
      </c>
      <c r="N280" s="52">
        <f t="shared" ca="1" si="65"/>
        <v>0.10694979193404115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1100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/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IFERROR(__xludf.DUMMYFUNCTION("IMPORTRANGE(""https://docs.google.com/spreadsheets/d/1C3CXT74ZlgGe6_JY_1olB1XN4rF0dxEuIIF-xsYjHgg/edit?usp=sharing"",""งบกองทุน!v61"")"),100)</f>
        <v>100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IFERROR(__xludf.DUMMYFUNCTION("IMPORTRANGE(""https://docs.google.com/spreadsheets/d/1C3CXT74ZlgGe6_JY_1olB1XN4rF0dxEuIIF-xsYjHgg/edit?usp=sharing"",""งบกองทุน!w61"")"),1000)</f>
        <v>1000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IFERROR(__xludf.DUMMYFUNCTION("IMPORTRANGE(""https://docs.google.com/spreadsheets/d/1C3CXT74ZlgGe6_JY_1olB1XN4rF0dxEuIIF-xsYjHgg/edit?usp=sharing"",""งบกองทุน!x61"")"),100)</f>
        <v>100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240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267520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80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267520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IFERROR(__xludf.DUMMYFUNCTION("IMPORTRANGE(""https://docs.google.com/spreadsheets/d/1C3CXT74ZlgGe6_JY_1olB1XN4rF0dxEuIIF-xsYjHgg/edit?usp=sharing"",""งบกองทุน!z61"")"),0)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IFERROR(__xludf.DUMMYFUNCTION("IMPORTRANGE(""https://docs.google.com/spreadsheets/d/1C3CXT74ZlgGe6_JY_1olB1XN4rF0dxEuIIF-xsYjHgg/edit?usp=sharing"",""งบกองทุน!aa61"")"),267520)</f>
        <v>267520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1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80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IFERROR(__xludf.DUMMYFUNCTION("IMPORTRANGE(""https://docs.google.com/spreadsheets/d/1C3CXT74ZlgGe6_JY_1olB1XN4rF0dxEuIIF-xsYjHgg/edit?usp=sharing"",""งบกองทุน!ae61"")"),30)</f>
        <v>30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IFERROR(__xludf.DUMMYFUNCTION("IMPORTRANGE(""https://docs.google.com/spreadsheets/d/1C3CXT74ZlgGe6_JY_1olB1XN4rF0dxEuIIF-xsYjHgg/edit?usp=sharing"",""งบกองทุน!ad61"")"),90)</f>
        <v>90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IFERROR(__xludf.DUMMYFUNCTION("IMPORTRANGE(""https://docs.google.com/spreadsheets/d/1C3CXT74ZlgGe6_JY_1olB1XN4rF0dxEuIIF-xsYjHgg/edit?usp=sharing"",""งบกองทุน!af61"")"),30)</f>
        <v>30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IFERROR(__xludf.DUMMYFUNCTION("IMPORTRANGE(""https://docs.google.com/spreadsheets/d/1C3CXT74ZlgGe6_JY_1olB1XN4rF0dxEuIIF-xsYjHgg/edit?usp=sharing"",""งบกองทุน!ag61"")"),30)</f>
        <v>30</v>
      </c>
      <c r="J315" s="247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IFERROR(__xludf.DUMMYFUNCTION("IMPORTRANGE(""https://docs.google.com/spreadsheets/d/1C3CXT74ZlgGe6_JY_1olB1XN4rF0dxEuIIF-xsYjHgg/edit?usp=sharing"",""งบกองทุน!ai61"")"),40)</f>
        <v>40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IFERROR(__xludf.DUMMYFUNCTION("IMPORTRANGE(""https://docs.google.com/spreadsheets/d/1C3CXT74ZlgGe6_JY_1olB1XN4rF0dxEuIIF-xsYjHgg/edit?usp=sharing"",""งบกองทุน!ah61"")"),120)</f>
        <v>120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IFERROR(__xludf.DUMMYFUNCTION("IMPORTRANGE(""https://docs.google.com/spreadsheets/d/1C3CXT74ZlgGe6_JY_1olB1XN4rF0dxEuIIF-xsYjHgg/edit?usp=sharing"",""งบกองทุน!aj61"")"),40)</f>
        <v>40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IFERROR(__xludf.DUMMYFUNCTION("IMPORTRANGE(""https://docs.google.com/spreadsheets/d/1C3CXT74ZlgGe6_JY_1olB1XN4rF0dxEuIIF-xsYjHgg/edit?usp=sharing"",""งบกองทุน!ak61"")"),40)</f>
        <v>40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IFERROR(__xludf.DUMMYFUNCTION("IMPORTRANGE(""https://docs.google.com/spreadsheets/d/1C3CXT74ZlgGe6_JY_1olB1XN4rF0dxEuIIF-xsYjHgg/edit?usp=sharing"",""งบกองทุน!al61"")"),40)</f>
        <v>40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IFERROR(__xludf.DUMMYFUNCTION("IMPORTRANGE(""https://docs.google.com/spreadsheets/d/1C3CXT74ZlgGe6_JY_1olB1XN4rF0dxEuIIF-xsYjHgg/edit?usp=sharing"",""งบกองทุน!an61"")"),10)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IFERROR(__xludf.DUMMYFUNCTION("IMPORTRANGE(""https://docs.google.com/spreadsheets/d/1C3CXT74ZlgGe6_JY_1olB1XN4rF0dxEuIIF-xsYjHgg/edit?usp=sharing"",""งบกองทุน!am61"")"),30)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IFERROR(__xludf.DUMMYFUNCTION("IMPORTRANGE(""https://docs.google.com/spreadsheets/d/1C3CXT74ZlgGe6_JY_1olB1XN4rF0dxEuIIF-xsYjHgg/edit?usp=sharing"",""งบกองทุน!ao61"")"),10)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IFERROR(__xludf.DUMMYFUNCTION("IMPORTRANGE(""https://docs.google.com/spreadsheets/d/1C3CXT74ZlgGe6_JY_1olB1XN4rF0dxEuIIF-xsYjHgg/edit?usp=sharing"",""งบกองทุน!ap61"")"),10)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70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IFERROR(__xludf.DUMMYFUNCTION("IMPORTRANGE(""https://docs.google.com/spreadsheets/d/1C3CXT74ZlgGe6_JY_1olB1XN4rF0dxEuIIF-xsYjHgg/edit?usp=sharing"",""งบกองทุน!ar61"")"),30)</f>
        <v>30</v>
      </c>
      <c r="J326" s="67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IFERROR(__xludf.DUMMYFUNCTION("IMPORTRANGE(""https://docs.google.com/spreadsheets/d/1C3CXT74ZlgGe6_JY_1olB1XN4rF0dxEuIIF-xsYjHgg/edit?usp=sharing"",""งบกองทุน!as61"")"),40)</f>
        <v>40</v>
      </c>
      <c r="J327" s="67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60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179000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179000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IFERROR(__xludf.DUMMYFUNCTION("IMPORTRANGE(""https://docs.google.com/spreadsheets/d/1C3CXT74ZlgGe6_JY_1olB1XN4rF0dxEuIIF-xsYjHgg/edit?usp=sharing"",""งบกองทุน!au61"")"),0)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IFERROR(__xludf.DUMMYFUNCTION("IMPORTRANGE(""https://docs.google.com/spreadsheets/d/1C3CXT74ZlgGe6_JY_1olB1XN4rF0dxEuIIF-xsYjHgg/edit?usp=sharing"",""งบกองทุน!av61"")"),179000)</f>
        <v>179000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1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60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IFERROR(__xludf.DUMMYFUNCTION("IMPORTRANGE(""https://docs.google.com/spreadsheets/d/1C3CXT74ZlgGe6_JY_1olB1XN4rF0dxEuIIF-xsYjHgg/edit?usp=sharing"",""งบกองทุน!ay61"")"),40)</f>
        <v>40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IFERROR(__xludf.DUMMYFUNCTION("IMPORTRANGE(""https://docs.google.com/spreadsheets/d/1C3CXT74ZlgGe6_JY_1olB1XN4rF0dxEuIIF-xsYjHgg/edit?usp=sharing"",""งบกองทุน!az61"")"),20)</f>
        <v>20</v>
      </c>
      <c r="J346" s="67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IFERROR(__xludf.DUMMYFUNCTION("IMPORTRANGE(""https://docs.google.com/spreadsheets/d/1C3CXT74ZlgGe6_JY_1olB1XN4rF0dxEuIIF-xsYjHgg/edit?usp=sharing"",""งบกองทุน!Ba61"")"),0)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24191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369379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369379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IFERROR(__xludf.DUMMYFUNCTION("IMPORTRANGE(""https://docs.google.com/spreadsheets/d/1C3CXT74ZlgGe6_JY_1olB1XN4rF0dxEuIIF-xsYjHgg/edit?usp=sharing"",""งบกองทุน!Bc61"")"),0)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IFERROR(__xludf.DUMMYFUNCTION("IMPORTRANGE(""https://docs.google.com/spreadsheets/d/1C3CXT74ZlgGe6_JY_1olB1XN4rF0dxEuIIF-xsYjHgg/edit?usp=sharing"",""งบกองทุน!Bd61"")"),369379)</f>
        <v>369379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IFERROR(__xludf.DUMMYFUNCTION("IMPORTRANGE(""https://docs.google.com/spreadsheets/d/1C3CXT74ZlgGe6_JY_1olB1XN4rF0dxEuIIF-xsYjHgg/edit?usp=sharing"",""งบกองทุน!BE61"")"),24191)</f>
        <v>24191</v>
      </c>
      <c r="J359" s="136">
        <f>+J376</f>
        <v>0</v>
      </c>
      <c r="K359" s="137">
        <f t="shared" ref="K359:K408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IFERROR(__xludf.DUMMYFUNCTION("IMPORTRANGE(""https://docs.google.com/spreadsheets/d/1C3CXT74ZlgGe6_JY_1olB1XN4rF0dxEuIIF-xsYjHgg/edit?usp=sharing"",""งบกองทุน!BE61"")"),24191)</f>
        <v>24191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IFERROR(__xludf.DUMMYFUNCTION("IMPORTRANGE(""https://docs.google.com/spreadsheets/d/1C3CXT74ZlgGe6_JY_1olB1XN4rF0dxEuIIF-xsYjHgg/edit?usp=sharing"",""งบกองทุน!Bf61"")"),2367)</f>
        <v>2367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24191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265">
        <f ca="1">I361</f>
        <v>2367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24191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265">
        <f ca="1">I361</f>
        <v>2367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IFERROR(__xludf.DUMMYFUNCTION("IMPORTRANGE(""https://docs.google.com/spreadsheets/d/1C3CXT74ZlgGe6_JY_1olB1XN4rF0dxEuIIF-xsYjHgg/edit?usp=sharing"",""งบกองทุน!cd61"")"),1333)</f>
        <v>1333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IFERROR(__xludf.DUMMYFUNCTION("IMPORTRANGE(""https://docs.google.com/spreadsheets/d/1C3CXT74ZlgGe6_JY_1olB1XN4rF0dxEuIIF-xsYjHgg/edit?usp=sharing"",""งบกองทุน!cd61"")"),1333)</f>
        <v>1333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IFERROR(__xludf.DUMMYFUNCTION("IMPORTRANGE(""https://docs.google.com/spreadsheets/d/1C3CXT74ZlgGe6_JY_1olB1XN4rF0dxEuIIF-xsYjHgg/edit?usp=sharing"",""งบกองทุน!cc61"")"),120)</f>
        <v>120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IFERROR(__xludf.DUMMYFUNCTION("IMPORTRANGE(""https://docs.google.com/spreadsheets/d/1C3CXT74ZlgGe6_JY_1olB1XN4rF0dxEuIIF-xsYjHgg/edit?usp=sharing"",""งบกองทุน!cz61"")"),0)</f>
        <v>0</v>
      </c>
      <c r="J409" s="136">
        <v>0</v>
      </c>
      <c r="K409" s="137"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IFERROR(__xludf.DUMMYFUNCTION("IMPORTRANGE(""https://docs.google.com/spreadsheets/d/1C3CXT74ZlgGe6_JY_1olB1XN4rF0dxEuIIF-xsYjHgg/edit?usp=sharing"",""งบกองทุน!cz61"")"),0)</f>
        <v>0</v>
      </c>
      <c r="J410" s="149">
        <v>0</v>
      </c>
      <c r="K410" s="146"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IFERROR(__xludf.DUMMYFUNCTION("IMPORTRANGE(""https://docs.google.com/spreadsheets/d/1C3CXT74ZlgGe6_JY_1olB1XN4rF0dxEuIIF-xsYjHgg/edit?usp=sharing"",""งบกองทุน!cy61"")"),0)</f>
        <v>0</v>
      </c>
      <c r="J411" s="149">
        <v>0</v>
      </c>
      <c r="K411" s="146"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IFERROR(__xludf.DUMMYFUNCTION("IMPORTRANGE(""https://docs.google.com/spreadsheets/d/1C3CXT74ZlgGe6_JY_1olB1XN4rF0dxEuIIF-xsYjHgg/edit?usp=sharing"",""งบกองทุน!db61"")"),0)</f>
        <v>0</v>
      </c>
      <c r="K412" s="48"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IFERROR(__xludf.DUMMYFUNCTION("IMPORTRANGE(""https://docs.google.com/spreadsheets/d/1C3CXT74ZlgGe6_JY_1olB1XN4rF0dxEuIIF-xsYjHgg/edit?usp=sharing"",""งบกองทุน!da61"")"),0)</f>
        <v>0</v>
      </c>
      <c r="K413" s="48"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IFERROR(__xludf.DUMMYFUNCTION("IMPORTRANGE(""https://docs.google.com/spreadsheets/d/1C3CXT74ZlgGe6_JY_1olB1XN4rF0dxEuIIF-xsYjHgg/edit?usp=sharing"",""งบกองทุน!dd61"")"),0)</f>
        <v>0</v>
      </c>
      <c r="K414" s="48"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IFERROR(__xludf.DUMMYFUNCTION("IMPORTRANGE(""https://docs.google.com/spreadsheets/d/1C3CXT74ZlgGe6_JY_1olB1XN4rF0dxEuIIF-xsYjHgg/edit?usp=sharing"",""งบกองทุน!dc61"")"),0)</f>
        <v>0</v>
      </c>
      <c r="K415" s="48"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IFERROR(__xludf.DUMMYFUNCTION("IMPORTRANGE(""https://docs.google.com/spreadsheets/d/1C3CXT74ZlgGe6_JY_1olB1XN4rF0dxEuIIF-xsYjHgg/edit?usp=sharing"",""งบกองทุน!df61"")"),0)</f>
        <v>0</v>
      </c>
      <c r="K416" s="48"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IFERROR(__xludf.DUMMYFUNCTION("IMPORTRANGE(""https://docs.google.com/spreadsheets/d/1C3CXT74ZlgGe6_JY_1olB1XN4rF0dxEuIIF-xsYjHgg/edit?usp=sharing"",""งบกองทุน!de61"")"),0)</f>
        <v>0</v>
      </c>
      <c r="K417" s="48"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4">
        <v>0</v>
      </c>
      <c r="J425" s="300">
        <v>0</v>
      </c>
      <c r="K425" s="301"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22</v>
      </c>
      <c r="J426" s="257">
        <f t="shared" si="91"/>
        <v>0</v>
      </c>
      <c r="K426" s="258">
        <f ca="1">IF(I426&gt;0,J426*100/I426,0)</f>
        <v>0</v>
      </c>
      <c r="L426" s="259">
        <f t="shared" ref="L426:M426" ca="1" si="92">SUM(L427:L428)</f>
        <v>34340</v>
      </c>
      <c r="M426" s="259">
        <f t="shared" si="92"/>
        <v>0</v>
      </c>
      <c r="N426" s="259">
        <f t="shared" ref="N426:N430" ca="1" si="93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34340</v>
      </c>
      <c r="M428" s="52">
        <f t="shared" si="94"/>
        <v>0</v>
      </c>
      <c r="N428" s="52">
        <f t="shared" ca="1" si="93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IFERROR(__xludf.DUMMYFUNCTION("IMPORTRANGE(""https://docs.google.com/spreadsheets/d/1C3CXT74ZlgGe6_JY_1olB1XN4rF0dxEuIIF-xsYjHgg/edit?usp=sharing"",""งบกองทุน!dn61"")"),0)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IFERROR(__xludf.DUMMYFUNCTION("IMPORTRANGE(""https://docs.google.com/spreadsheets/d/1C3CXT74ZlgGe6_JY_1olB1XN4rF0dxEuIIF-xsYjHgg/edit?usp=sharing"",""งบกองทุน!do61"")"),34340)</f>
        <v>34340</v>
      </c>
      <c r="M430" s="52">
        <f>SUM(M431:M434)</f>
        <v>0</v>
      </c>
      <c r="N430" s="52">
        <f t="shared" ca="1" si="93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IFERROR(__xludf.DUMMYFUNCTION("IMPORTRANGE(""https://docs.google.com/spreadsheets/d/1C3CXT74ZlgGe6_JY_1olB1XN4rF0dxEuIIF-xsYjHgg/edit?usp=sharing"",""งบกองทุน!dq61"")"),22)</f>
        <v>22</v>
      </c>
      <c r="J440" s="67">
        <v>0</v>
      </c>
      <c r="K440" s="48">
        <f t="shared" ref="K440:K441" ca="1" si="95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IFERROR(__xludf.DUMMYFUNCTION("IMPORTRANGE(""https://docs.google.com/spreadsheets/d/1C3CXT74ZlgGe6_JY_1olB1XN4rF0dxEuIIF-xsYjHgg/edit?usp=sharing"",""งบกองทุน!dr61"")"),22)</f>
        <v>22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IFERROR(__xludf.DUMMYFUNCTION("IMPORTRANGE(""https://docs.google.com/spreadsheets/d/1C3CXT74ZlgGe6_JY_1olB1XN4rF0dxEuIIF-xsYjHgg/edit?usp=sharing"",""งบกองทุน!dt61"")"),0)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IFERROR(__xludf.DUMMYFUNCTION("IMPORTRANGE(""https://docs.google.com/spreadsheets/d/1C3CXT74ZlgGe6_JY_1olB1XN4rF0dxEuIIF-xsYjHgg/edit?usp=sharing"",""งบกองทุน!du61"")"),0)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IFERROR(__xludf.DUMMYFUNCTION("IMPORTRANGE(""https://docs.google.com/spreadsheets/d/1C3CXT74ZlgGe6_JY_1olB1XN4rF0dxEuIIF-xsYjHgg/edit?usp=sharing"",""งบกองทุน!dw61"")"),0)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IFERROR(__xludf.DUMMYFUNCTION("IMPORTRANGE(""https://docs.google.com/spreadsheets/d/1C3CXT74ZlgGe6_JY_1olB1XN4rF0dxEuIIF-xsYjHgg/edit?usp=sharing"",""งบกองทุน!dx61"")"),0)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IFERROR(__xludf.DUMMYFUNCTION("IMPORTRANGE(""https://docs.google.com/spreadsheets/d/1C3CXT74ZlgGe6_JY_1olB1XN4rF0dxEuIIF-xsYjHgg/edit?usp=sharing"",""งบกองทุน!dy61"")"),0)</f>
        <v>0</v>
      </c>
      <c r="J455" s="66">
        <v>0</v>
      </c>
      <c r="K455" s="48">
        <f t="shared" ca="1" si="100"/>
        <v>0</v>
      </c>
      <c r="L455" s="60"/>
      <c r="M455" s="60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IFERROR(__xludf.DUMMYFUNCTION("IMPORTRANGE(""https://docs.google.com/spreadsheets/d/1C3CXT74ZlgGe6_JY_1olB1XN4rF0dxEuIIF-xsYjHgg/edit?usp=sharing"",""งบกองทุน!dz61"")"),0)</f>
        <v>0</v>
      </c>
      <c r="J456" s="66">
        <v>0</v>
      </c>
      <c r="K456" s="48">
        <f t="shared" ca="1" si="100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1800</v>
      </c>
      <c r="J457" s="226">
        <f>+J466</f>
        <v>0</v>
      </c>
      <c r="K457" s="227">
        <f t="shared" ca="1" si="100"/>
        <v>0</v>
      </c>
      <c r="L457" s="228">
        <f t="shared" ref="L457:M457" ca="1" si="101">SUM(L458:L459)</f>
        <v>140960</v>
      </c>
      <c r="M457" s="228">
        <f t="shared" si="101"/>
        <v>17233</v>
      </c>
      <c r="N457" s="228">
        <f t="shared" ref="N457:N461" ca="1" si="102">+IF(L457&gt;0,M457*100/L457,0)</f>
        <v>12.225454029511917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140960</v>
      </c>
      <c r="M459" s="52">
        <f t="shared" si="103"/>
        <v>17233</v>
      </c>
      <c r="N459" s="52">
        <f t="shared" ca="1" si="102"/>
        <v>12.225454029511917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IFERROR(__xludf.DUMMYFUNCTION("IMPORTRANGE(""https://docs.google.com/spreadsheets/d/1C3CXT74ZlgGe6_JY_1olB1XN4rF0dxEuIIF-xsYjHgg/edit?usp=sharing"",""งบกองทุน!Eb61"")"),0)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IFERROR(__xludf.DUMMYFUNCTION("IMPORTRANGE(""https://docs.google.com/spreadsheets/d/1C3CXT74ZlgGe6_JY_1olB1XN4rF0dxEuIIF-xsYjHgg/edit?usp=sharing"",""งบกองทุน!Ec61"")"),140960)</f>
        <v>140960</v>
      </c>
      <c r="M461" s="52">
        <f>SUM(M462:M465)</f>
        <v>17233</v>
      </c>
      <c r="N461" s="52">
        <f t="shared" ca="1" si="102"/>
        <v>12.225454029511917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17233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IFERROR(__xludf.DUMMYFUNCTION("IMPORTRANGE(""https://docs.google.com/spreadsheets/d/1C3CXT74ZlgGe6_JY_1olB1XN4rF0dxEuIIF-xsYjHgg/edit?usp=sharing"",""งบกองทุน!Ed61"")"),1800)</f>
        <v>1800</v>
      </c>
      <c r="J466" s="265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0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0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IFERROR(__xludf.DUMMYFUNCTION("IMPORTRANGE(""https://docs.google.com/spreadsheets/d/1C3CXT74ZlgGe6_JY_1olB1XN4rF0dxEuIIF-xsYjHgg/edit?usp=sharing"",""งบกองทุน!Ek61"")"),0)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IFERROR(__xludf.DUMMYFUNCTION("IMPORTRANGE(""https://docs.google.com/spreadsheets/d/1C3CXT74ZlgGe6_JY_1olB1XN4rF0dxEuIIF-xsYjHgg/edit?usp=sharing"",""งบกองทุน!El61"")"),0)</f>
        <v>0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IFERROR(__xludf.DUMMYFUNCTION("IMPORTRANGE(""https://docs.google.com/spreadsheets/d/1C3CXT74ZlgGe6_JY_1olB1XN4rF0dxEuIIF-xsYjHgg/edit?usp=sharing"",""งบกองทุน!Em61"")"),0)</f>
        <v>0</v>
      </c>
      <c r="J482" s="66">
        <f ca="1">IFERROR(__xludf.DUMMYFUNCTION("IMPORTRANGE(""https://docs.google.com/spreadsheets/d/1AGHcLOeeYFL3K4b9R1dSzyJy00PE_ra89DNTVfnxSWM/edit?usp=sharing"",""รวมที่ชุมชน!G50"")"),69)</f>
        <v>69</v>
      </c>
      <c r="K482" s="48">
        <f t="shared" ref="K482:K489" ca="1" si="107">IF(I482&gt;0,J482*100/I482,0)</f>
        <v>0</v>
      </c>
      <c r="L482" s="60"/>
      <c r="M482" s="52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IFERROR(__xludf.DUMMYFUNCTION("IMPORTRANGE(""https://docs.google.com/spreadsheets/d/1C3CXT74ZlgGe6_JY_1olB1XN4rF0dxEuIIF-xsYjHgg/edit?usp=sharing"",""งบกองทุน!En61"")"),0)</f>
        <v>0</v>
      </c>
      <c r="J483" s="66">
        <f ca="1">IFERROR(__xludf.DUMMYFUNCTION("IMPORTRANGE(""https://docs.google.com/spreadsheets/d/1AGHcLOeeYFL3K4b9R1dSzyJy00PE_ra89DNTVfnxSWM/edit?usp=sharing"",""รวมที่ชุมชน!H50"")"),49.62)</f>
        <v>49.62</v>
      </c>
      <c r="K483" s="200">
        <f t="shared" ca="1" si="107"/>
        <v>0</v>
      </c>
      <c r="L483" s="60"/>
      <c r="M483" s="52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IFERROR(__xludf.DUMMYFUNCTION("IMPORTRANGE(""https://docs.google.com/spreadsheets/d/1C3CXT74ZlgGe6_JY_1olB1XN4rF0dxEuIIF-xsYjHgg/edit?usp=sharing"",""งบกองทุน!Eo61"")"),0)</f>
        <v>0</v>
      </c>
      <c r="J484" s="66">
        <f ca="1">IFERROR(__xludf.DUMMYFUNCTION("IMPORTRANGE(""https://docs.google.com/spreadsheets/d/1AGHcLOeeYFL3K4b9R1dSzyJy00PE_ra89DNTVfnxSWM/edit?usp=sharing"",""รวมที่ชุมชน!J50"")"),0)</f>
        <v>0</v>
      </c>
      <c r="K484" s="48">
        <f t="shared" ca="1" si="107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IFERROR(__xludf.DUMMYFUNCTION("IMPORTRANGE(""https://docs.google.com/spreadsheets/d/1C3CXT74ZlgGe6_JY_1olB1XN4rF0dxEuIIF-xsYjHgg/edit?usp=sharing"",""งบกองทุน!Ep61"")"),0)</f>
        <v>0</v>
      </c>
      <c r="J485" s="66">
        <f ca="1">IFERROR(__xludf.DUMMYFUNCTION("IMPORTRANGE(""https://docs.google.com/spreadsheets/d/1AGHcLOeeYFL3K4b9R1dSzyJy00PE_ra89DNTVfnxSWM/edit?usp=sharing"",""รวมที่ชุมชน!L50"")"),0)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IFERROR(__xludf.DUMMYFUNCTION("IMPORTRANGE(""https://docs.google.com/spreadsheets/d/1C3CXT74ZlgGe6_JY_1olB1XN4rF0dxEuIIF-xsYjHgg/edit?usp=sharing"",""งบกองทุน!Eq61"")"),0)</f>
        <v>0</v>
      </c>
      <c r="J486" s="66">
        <f ca="1">IFERROR(__xludf.DUMMYFUNCTION("IMPORTRANGE(""https://docs.google.com/spreadsheets/d/1AGHcLOeeYFL3K4b9R1dSzyJy00PE_ra89DNTVfnxSWM/edit?usp=sharing"",""รวมที่ชุมชน!S50"")"),0)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IFERROR(__xludf.DUMMYFUNCTION("IMPORTRANGE(""https://docs.google.com/spreadsheets/d/1C3CXT74ZlgGe6_JY_1olB1XN4rF0dxEuIIF-xsYjHgg/edit?usp=sharing"",""งบกองทุน!Er61"")"),0)</f>
        <v>0</v>
      </c>
      <c r="J487" s="66">
        <f ca="1">IFERROR(__xludf.DUMMYFUNCTION("IMPORTRANGE(""https://docs.google.com/spreadsheets/d/1AGHcLOeeYFL3K4b9R1dSzyJy00PE_ra89DNTVfnxSWM/edit?usp=sharing"",""รวมที่ชุมชน!U50"")"),0)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IFERROR(__xludf.DUMMYFUNCTION("IMPORTRANGE(""https://docs.google.com/spreadsheets/d/1C3CXT74ZlgGe6_JY_1olB1XN4rF0dxEuIIF-xsYjHgg/edit?usp=sharing"",""งบกองทุน!Es61"")"),0)</f>
        <v>0</v>
      </c>
      <c r="J488" s="66">
        <f ca="1">IFERROR(__xludf.DUMMYFUNCTION("IMPORTRANGE(""https://docs.google.com/spreadsheets/d/1AGHcLOeeYFL3K4b9R1dSzyJy00PE_ra89DNTVfnxSWM/edit?usp=sharing"",""รวมที่ชุมชน!V50"")"),0)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IFERROR(__xludf.DUMMYFUNCTION("IMPORTRANGE(""https://docs.google.com/spreadsheets/d/1C3CXT74ZlgGe6_JY_1olB1XN4rF0dxEuIIF-xsYjHgg/edit?usp=sharing"",""งบกองทุน!Et61"")"),0)</f>
        <v>0</v>
      </c>
      <c r="J489" s="111">
        <f ca="1">IFERROR(__xludf.DUMMYFUNCTION("IMPORTRANGE(""https://docs.google.com/spreadsheets/d/1AGHcLOeeYFL3K4b9R1dSzyJy00PE_ra89DNTVfnxSWM/edit?usp=sharing"",""รวมที่ชุมชน!X50"")"),0)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52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5460</v>
      </c>
      <c r="M490" s="259">
        <f>SUM(M491:M492)</f>
        <v>900</v>
      </c>
      <c r="N490" s="259">
        <f t="shared" ref="N490:N494" ca="1" si="109">+IF(L490&gt;0,M490*100/L490,0)</f>
        <v>16.483516483516482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5460</v>
      </c>
      <c r="M492" s="52">
        <f t="shared" si="110"/>
        <v>900</v>
      </c>
      <c r="N492" s="52">
        <f t="shared" ca="1" si="109"/>
        <v>16.483516483516482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IFERROR(__xludf.DUMMYFUNCTION("IMPORTRANGE(""https://docs.google.com/spreadsheets/d/1C3CXT74ZlgGe6_JY_1olB1XN4rF0dxEuIIF-xsYjHgg/edit?usp=sharing"",""งบกองทุน!Ev61"")"),0)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IFERROR(__xludf.DUMMYFUNCTION("IMPORTRANGE(""https://docs.google.com/spreadsheets/d/1C3CXT74ZlgGe6_JY_1olB1XN4rF0dxEuIIF-xsYjHgg/edit?usp=sharing"",""งบกองทุน!Ew61"")"),5460)</f>
        <v>5460</v>
      </c>
      <c r="M494" s="52">
        <f>SUM(M495:M498)</f>
        <v>900</v>
      </c>
      <c r="N494" s="52">
        <f t="shared" ca="1" si="109"/>
        <v>16.483516483516482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900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1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IFERROR(__xludf.DUMMYFUNCTION("IMPORTRANGE(""https://docs.google.com/spreadsheets/d/1C3CXT74ZlgGe6_JY_1olB1XN4rF0dxEuIIF-xsYjHgg/edit?usp=sharing"",""งบกองทุน!EZ61"")"),52)</f>
        <v>52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IFERROR(__xludf.DUMMYFUNCTION("IMPORTRANGE(""https://docs.google.com/spreadsheets/d/1C3CXT74ZlgGe6_JY_1olB1XN4rF0dxEuIIF-xsYjHgg/edit?usp=sharing"",""งบกองทุน!ff61"")"),0)</f>
        <v>0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IFERROR(__xludf.DUMMYFUNCTION("IMPORTRANGE(""https://docs.google.com/spreadsheets/d/1muirlRDkqiswvy_NRZ3Yh955hx-PF6_HhssUYiSJj8o/edit?usp=sharing"",""กองทุน!D61"")"),3842037.07)</f>
        <v>3842037.07</v>
      </c>
      <c r="J521" s="199">
        <f ca="1">IFERROR(__xludf.DUMMYFUNCTION("IMPORTRANGE(""https://docs.google.com/spreadsheets/d/1muirlRDkqiswvy_NRZ3Yh955hx-PF6_HhssUYiSJj8o/edit?usp=sharing"",""กองทุน!F61"")"),15000)</f>
        <v>15000</v>
      </c>
      <c r="K521" s="200">
        <f t="shared" ref="K521:K528" ca="1" si="116">IF(I521&gt;0,J521*100/I521,0)</f>
        <v>0.39041788839377339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IFERROR(__xludf.DUMMYFUNCTION("IMPORTRANGE(""https://docs.google.com/spreadsheets/d/1muirlRDkqiswvy_NRZ3Yh955hx-PF6_HhssUYiSJj8o/edit?usp=sharing"",""กองทุน!C61"")"),157)</f>
        <v>157</v>
      </c>
      <c r="J522" s="199">
        <f ca="1">IFERROR(__xludf.DUMMYFUNCTION("IMPORTRANGE(""https://docs.google.com/spreadsheets/d/1muirlRDkqiswvy_NRZ3Yh955hx-PF6_HhssUYiSJj8o/edit?usp=sharing"",""กองทุน!E61"")"),1)</f>
        <v>1</v>
      </c>
      <c r="K522" s="200">
        <f t="shared" ca="1" si="116"/>
        <v>0.63694267515923564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IFERROR(__xludf.DUMMYFUNCTION("IMPORTRANGE(""https://docs.google.com/spreadsheets/d/1muirlRDkqiswvy_NRZ3Yh955hx-PF6_HhssUYiSJj8o/edit?usp=sharing"",""กองทุน!I61"")"),10407385.09)</f>
        <v>10407385.09</v>
      </c>
      <c r="J523" s="199">
        <f ca="1">IFERROR(__xludf.DUMMYFUNCTION("IMPORTRANGE(""https://docs.google.com/spreadsheets/d/1muirlRDkqiswvy_NRZ3Yh955hx-PF6_HhssUYiSJj8o/edit?usp=sharing"",""กองทุน!K61"")"),150063.64)</f>
        <v>150063.64000000001</v>
      </c>
      <c r="K523" s="200">
        <f t="shared" ca="1" si="116"/>
        <v>1.4418957183028578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IFERROR(__xludf.DUMMYFUNCTION("IMPORTRANGE(""https://docs.google.com/spreadsheets/d/1muirlRDkqiswvy_NRZ3Yh955hx-PF6_HhssUYiSJj8o/edit?usp=sharing"",""กองทุน!H61"")"),275)</f>
        <v>275</v>
      </c>
      <c r="J524" s="199">
        <f ca="1">IFERROR(__xludf.DUMMYFUNCTION("IMPORTRANGE(""https://docs.google.com/spreadsheets/d/1muirlRDkqiswvy_NRZ3Yh955hx-PF6_HhssUYiSJj8o/edit?usp=sharing"",""กองทุน!J61"")"),16)</f>
        <v>16</v>
      </c>
      <c r="K524" s="200">
        <f t="shared" ca="1" si="116"/>
        <v>5.8181818181818183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IFERROR(__xludf.DUMMYFUNCTION("IMPORTRANGE(""https://docs.google.com/spreadsheets/d/1muirlRDkqiswvy_NRZ3Yh955hx-PF6_HhssUYiSJj8o/edit?usp=sharing"",""กองทุน!N61"")"),4541062.79)</f>
        <v>4541062.79</v>
      </c>
      <c r="J525" s="199">
        <f ca="1">IFERROR(__xludf.DUMMYFUNCTION("IMPORTRANGE(""https://docs.google.com/spreadsheets/d/1muirlRDkqiswvy_NRZ3Yh955hx-PF6_HhssUYiSJj8o/edit?usp=sharing"",""กองทุน!P61"")"),183091.48)</f>
        <v>183091.48</v>
      </c>
      <c r="K525" s="200">
        <f t="shared" ca="1" si="116"/>
        <v>4.031908133998737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IFERROR(__xludf.DUMMYFUNCTION("IMPORTRANGE(""https://docs.google.com/spreadsheets/d/1muirlRDkqiswvy_NRZ3Yh955hx-PF6_HhssUYiSJj8o/edit?usp=sharing"",""กองทุน!M61"")"),1208)</f>
        <v>1208</v>
      </c>
      <c r="J526" s="199">
        <f ca="1">IFERROR(__xludf.DUMMYFUNCTION("IMPORTRANGE(""https://docs.google.com/spreadsheets/d/1muirlRDkqiswvy_NRZ3Yh955hx-PF6_HhssUYiSJj8o/edit?usp=sharing"",""กองทุน!O61"")"),54)</f>
        <v>54</v>
      </c>
      <c r="K526" s="200">
        <f t="shared" ca="1" si="116"/>
        <v>4.4701986754966887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IFERROR(__xludf.DUMMYFUNCTION("IMPORTRANGE(""https://docs.google.com/spreadsheets/d/1muirlRDkqiswvy_NRZ3Yh955hx-PF6_HhssUYiSJj8o/edit?usp=sharing"",""กองทุน!S61"")"),3000000)</f>
        <v>3000000</v>
      </c>
      <c r="J527" s="199">
        <f ca="1">IFERROR(__xludf.DUMMYFUNCTION("IMPORTRANGE(""https://docs.google.com/spreadsheets/d/1muirlRDkqiswvy_NRZ3Yh955hx-PF6_HhssUYiSJj8o/edit?usp=sharing"",""กองทุน!U61"")"),0)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IFERROR(__xludf.DUMMYFUNCTION("IMPORTRANGE(""https://docs.google.com/spreadsheets/d/1muirlRDkqiswvy_NRZ3Yh955hx-PF6_HhssUYiSJj8o/edit?usp=sharing"",""กองทุน!R61"")"),100)</f>
        <v>100</v>
      </c>
      <c r="J528" s="324">
        <f ca="1">IFERROR(__xludf.DUMMYFUNCTION("IMPORTRANGE(""https://docs.google.com/spreadsheets/d/1muirlRDkqiswvy_NRZ3Yh955hx-PF6_HhssUYiSJj8o/edit?usp=sharing"",""กองทุน!T61"")"),0)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A5" sqref="A5:G5"/>
      <selection pane="bottomLeft" activeCell="A5" sqref="A5:G5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68" t="s">
        <v>0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</row>
    <row r="2" spans="1:14" ht="18" customHeight="1" x14ac:dyDescent="0.55000000000000004">
      <c r="A2" s="368" t="s">
        <v>225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</row>
    <row r="3" spans="1:14" ht="18" customHeight="1" x14ac:dyDescent="0.55000000000000004">
      <c r="A3" s="368" t="s">
        <v>247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70" t="s">
        <v>4</v>
      </c>
      <c r="B5" s="371"/>
      <c r="C5" s="371"/>
      <c r="D5" s="371"/>
      <c r="E5" s="371"/>
      <c r="F5" s="371"/>
      <c r="G5" s="372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1932460</v>
      </c>
      <c r="M6" s="16">
        <f t="shared" si="0"/>
        <v>140408.70000000001</v>
      </c>
      <c r="N6" s="17">
        <f ca="1">IF(L6&gt;0,M6*100/L6,0)</f>
        <v>7.2658011032569894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66" t="s">
        <v>21</v>
      </c>
      <c r="J11" s="66"/>
      <c r="K11" s="232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66"/>
      <c r="J12" s="66"/>
      <c r="K12" s="232"/>
      <c r="L12" s="52">
        <f ca="1">IFERROR(__xludf.DUMMYFUNCTION("IMPORTRANGE(""https://docs.google.com/spreadsheets/d/1C3CXT74ZlgGe6_JY_1olB1XN4rF0dxEuIIF-xsYjHgg/edit?usp=sharing"",""พรบ!C62"")"),0)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66"/>
      <c r="J13" s="66"/>
      <c r="K13" s="232"/>
      <c r="L13" s="52">
        <f ca="1">IFERROR(__xludf.DUMMYFUNCTION("IMPORTRANGE(""https://docs.google.com/spreadsheets/d/1C3CXT74ZlgGe6_JY_1olB1XN4rF0dxEuIIF-xsYjHgg/edit?usp=sharing"",""พรบ!D62"")"),0)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66"/>
      <c r="J14" s="66"/>
      <c r="K14" s="232"/>
      <c r="L14" s="52">
        <f ca="1">IFERROR(__xludf.DUMMYFUNCTION("IMPORTRANGE(""https://docs.google.com/spreadsheets/d/1C3CXT74ZlgGe6_JY_1olB1XN4rF0dxEuIIF-xsYjHgg/edit?usp=sharing"",""พรบ!E62"")"),0)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66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28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66">
        <f ca="1">IFERROR(__xludf.DUMMYFUNCTION("IMPORTRANGE(""https://docs.google.com/spreadsheets/d/1C3CXT74ZlgGe6_JY_1olB1XN4rF0dxEuIIF-xsYjHgg/edit?usp=sharing"",""พรบ!H62"")"),0)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66">
        <f ca="1">IFERROR(__xludf.DUMMYFUNCTION("IMPORTRANGE(""https://docs.google.com/spreadsheets/d/1C3CXT74ZlgGe6_JY_1olB1XN4rF0dxEuIIF-xsYjHgg/edit?usp=sharing"",""พรบ!I62"")"),0)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66">
        <f ca="1">IFERROR(__xludf.DUMMYFUNCTION("IMPORTRANGE(""https://docs.google.com/spreadsheets/d/1C3CXT74ZlgGe6_JY_1olB1XN4rF0dxEuIIF-xsYjHgg/edit?usp=sharing"",""พรบ!J62"")"),0)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66">
        <f ca="1">IFERROR(__xludf.DUMMYFUNCTION("IMPORTRANGE(""https://docs.google.com/spreadsheets/d/1C3CXT74ZlgGe6_JY_1olB1XN4rF0dxEuIIF-xsYjHgg/edit?usp=sharing"",""พรบ!K62"")"),0)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66">
        <f ca="1">IFERROR(__xludf.DUMMYFUNCTION("IMPORTRANGE(""https://docs.google.com/spreadsheets/d/1C3CXT74ZlgGe6_JY_1olB1XN4rF0dxEuIIF-xsYjHgg/edit?usp=sharing"",""พรบ!L62"")"),0)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66">
        <f ca="1">IFERROR(__xludf.DUMMYFUNCTION("IMPORTRANGE(""https://docs.google.com/spreadsheets/d/1C3CXT74ZlgGe6_JY_1olB1XN4rF0dxEuIIF-xsYjHgg/edit?usp=sharing"",""พรบ!M62"")"),0)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66">
        <f ca="1">IFERROR(__xludf.DUMMYFUNCTION("IMPORTRANGE(""https://docs.google.com/spreadsheets/d/1C3CXT74ZlgGe6_JY_1olB1XN4rF0dxEuIIF-xsYjHgg/edit?usp=sharing"",""พรบ!N62"")"),0)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6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122100</v>
      </c>
      <c r="M32" s="96">
        <f>SUM(M34:M35)</f>
        <v>5900</v>
      </c>
      <c r="N32" s="39">
        <f ca="1">IF(L32&gt;0,M32*100/L32,0)</f>
        <v>4.8321048321048323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1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IFERROR(__xludf.DUMMYFUNCTION("IMPORTRANGE(""https://docs.google.com/spreadsheets/d/1C3CXT74ZlgGe6_JY_1olB1XN4rF0dxEuIIF-xsYjHgg/edit?usp=sharing"",""พรบ!O62"")"),122100)</f>
        <v>122100</v>
      </c>
      <c r="M35" s="49">
        <f>SUM(M36:M37)</f>
        <v>5900</v>
      </c>
      <c r="N35" s="49">
        <f t="shared" ca="1" si="10"/>
        <v>4.8321048321048323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IFERROR(__xludf.DUMMYFUNCTION("IMPORTRANGE(""https://docs.google.com/spreadsheets/d/1C3CXT74ZlgGe6_JY_1olB1XN4rF0dxEuIIF-xsYjHgg/edit?usp=sharing"",""พรบ!P62"")"),0)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47"/>
      <c r="K37" s="48"/>
      <c r="L37" s="52">
        <f ca="1">IFERROR(__xludf.DUMMYFUNCTION("IMPORTRANGE(""https://docs.google.com/spreadsheets/d/1C3CXT74ZlgGe6_JY_1olB1XN4rF0dxEuIIF-xsYjHgg/edit?usp=sharing"",""พรบ!Q62"")"),122100)</f>
        <v>122100</v>
      </c>
      <c r="M37" s="53">
        <v>5900</v>
      </c>
      <c r="N37" s="52">
        <f t="shared" ca="1" si="10"/>
        <v>4.8321048321048323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47"/>
      <c r="K38" s="48"/>
      <c r="L38" s="60"/>
      <c r="M38" s="60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7">
        <v>0</v>
      </c>
      <c r="K39" s="48"/>
      <c r="L39" s="60"/>
      <c r="M39" s="60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7">
        <v>1</v>
      </c>
      <c r="K40" s="48"/>
      <c r="L40" s="60" t="s">
        <v>21</v>
      </c>
      <c r="M40" s="60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7">
        <v>1</v>
      </c>
      <c r="K41" s="48"/>
      <c r="L41" s="60"/>
      <c r="M41" s="60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7">
        <v>0</v>
      </c>
      <c r="K42" s="48"/>
      <c r="L42" s="60"/>
      <c r="M42" s="60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IFERROR(__xludf.DUMMYFUNCTION("IMPORTRANGE(""https://docs.google.com/spreadsheets/d/1C3CXT74ZlgGe6_JY_1olB1XN4rF0dxEuIIF-xsYjHgg/edit?usp=sharing"",""พรบ!R62"")"),1)</f>
        <v>1</v>
      </c>
      <c r="J43" s="67">
        <v>0</v>
      </c>
      <c r="K43" s="48">
        <f t="shared" ref="K43:K48" ca="1" si="11">IF(I43&gt;0,J43*100/I43,0)</f>
        <v>0</v>
      </c>
      <c r="L43" s="60"/>
      <c r="M43" s="60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IFERROR(__xludf.DUMMYFUNCTION("IMPORTRANGE(""https://docs.google.com/spreadsheets/d/1C3CXT74ZlgGe6_JY_1olB1XN4rF0dxEuIIF-xsYjHgg/edit?usp=sharing"",""พรบ!S62"")"),4)</f>
        <v>4</v>
      </c>
      <c r="J44" s="67">
        <v>0</v>
      </c>
      <c r="K44" s="48">
        <f t="shared" ca="1" si="11"/>
        <v>0</v>
      </c>
      <c r="L44" s="60"/>
      <c r="M44" s="60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IFERROR(__xludf.DUMMYFUNCTION("IMPORTRANGE(""https://docs.google.com/spreadsheets/d/1C3CXT74ZlgGe6_JY_1olB1XN4rF0dxEuIIF-xsYjHgg/edit?usp=sharing"",""พรบ!T62"")"),4)</f>
        <v>4</v>
      </c>
      <c r="J45" s="67">
        <v>0</v>
      </c>
      <c r="K45" s="48">
        <f t="shared" ca="1" si="11"/>
        <v>0</v>
      </c>
      <c r="L45" s="60"/>
      <c r="M45" s="60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IFERROR(__xludf.DUMMYFUNCTION("IMPORTRANGE(""https://docs.google.com/spreadsheets/d/1C3CXT74ZlgGe6_JY_1olB1XN4rF0dxEuIIF-xsYjHgg/edit?usp=sharing"",""พรบ!U62"")"),4)</f>
        <v>4</v>
      </c>
      <c r="J46" s="67">
        <v>0</v>
      </c>
      <c r="K46" s="48">
        <f t="shared" ca="1" si="11"/>
        <v>0</v>
      </c>
      <c r="L46" s="60"/>
      <c r="M46" s="60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IFERROR(__xludf.DUMMYFUNCTION("IMPORTRANGE(""https://docs.google.com/spreadsheets/d/1C3CXT74ZlgGe6_JY_1olB1XN4rF0dxEuIIF-xsYjHgg/edit?usp=sharing"",""พรบ!V62"")"),4)</f>
        <v>4</v>
      </c>
      <c r="J47" s="67">
        <v>0</v>
      </c>
      <c r="K47" s="48">
        <f t="shared" ca="1" si="11"/>
        <v>0</v>
      </c>
      <c r="L47" s="60"/>
      <c r="M47" s="60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IFERROR(__xludf.DUMMYFUNCTION("IMPORTRANGE(""https://docs.google.com/spreadsheets/d/1C3CXT74ZlgGe6_JY_1olB1XN4rF0dxEuIIF-xsYjHgg/edit?usp=sharing"",""พรบ!W62"")"),1)</f>
        <v>1</v>
      </c>
      <c r="J48" s="67">
        <v>0</v>
      </c>
      <c r="K48" s="48">
        <f t="shared" ca="1" si="11"/>
        <v>0</v>
      </c>
      <c r="L48" s="60"/>
      <c r="M48" s="60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7"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84"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20</v>
      </c>
      <c r="J52" s="38">
        <f>+J62</f>
        <v>0</v>
      </c>
      <c r="K52" s="39">
        <f ca="1">IF(I52&gt;0,J52*100/I52,0)</f>
        <v>0</v>
      </c>
      <c r="L52" s="40">
        <f ca="1">L53+L54</f>
        <v>82440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82440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IFERROR(__xludf.DUMMYFUNCTION("IMPORTRANGE(""https://docs.google.com/spreadsheets/d/1C3CXT74ZlgGe6_JY_1olB1XN4rF0dxEuIIF-xsYjHgg/edit?usp=sharing"",""พรบ!Y62"")"),0)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47"/>
      <c r="K56" s="48"/>
      <c r="L56" s="52">
        <f ca="1">IFERROR(__xludf.DUMMYFUNCTION("IMPORTRANGE(""https://docs.google.com/spreadsheets/d/1C3CXT74ZlgGe6_JY_1olB1XN4rF0dxEuIIF-xsYjHgg/edit?usp=sharing"",""พรบ!Z62"")"),82440)</f>
        <v>82440</v>
      </c>
      <c r="M56" s="53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246</v>
      </c>
      <c r="E57" s="57"/>
      <c r="F57" s="57"/>
      <c r="G57" s="58"/>
      <c r="H57" s="59"/>
      <c r="I57" s="47"/>
      <c r="J57" s="47"/>
      <c r="K57" s="48"/>
      <c r="L57" s="60"/>
      <c r="M57" s="60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7">
        <v>1</v>
      </c>
      <c r="K58" s="48"/>
      <c r="L58" s="60"/>
      <c r="M58" s="60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7">
        <v>0</v>
      </c>
      <c r="K59" s="48"/>
      <c r="L59" s="60" t="s">
        <v>21</v>
      </c>
      <c r="M59" s="60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7">
        <v>0</v>
      </c>
      <c r="K60" s="48"/>
      <c r="L60" s="60"/>
      <c r="M60" s="60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7">
        <v>0</v>
      </c>
      <c r="K61" s="48"/>
      <c r="L61" s="60"/>
      <c r="M61" s="60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IFERROR(__xludf.DUMMYFUNCTION("IMPORTRANGE(""https://docs.google.com/spreadsheets/d/1C3CXT74ZlgGe6_JY_1olB1XN4rF0dxEuIIF-xsYjHgg/edit?usp=sharing"",""พรบ!AA62"")"),20)</f>
        <v>20</v>
      </c>
      <c r="J62" s="67">
        <v>0</v>
      </c>
      <c r="K62" s="48">
        <f t="shared" ref="K62:K63" ca="1" si="14">IF(I62&gt;0,J62*100/I62,0)</f>
        <v>0</v>
      </c>
      <c r="L62" s="60"/>
      <c r="M62" s="60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20</v>
      </c>
      <c r="J63" s="67">
        <v>0</v>
      </c>
      <c r="K63" s="48">
        <f t="shared" ca="1" si="14"/>
        <v>0</v>
      </c>
      <c r="L63" s="60"/>
      <c r="M63" s="60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7">
        <v>0</v>
      </c>
      <c r="K64" s="48"/>
      <c r="L64" s="60"/>
      <c r="M64" s="60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112">
        <v>0</v>
      </c>
      <c r="K65" s="113"/>
      <c r="L65" s="114"/>
      <c r="M65" s="114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55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323600</v>
      </c>
      <c r="M68" s="138">
        <f t="shared" si="16"/>
        <v>16675.48</v>
      </c>
      <c r="N68" s="137">
        <f ca="1">IF(L68&gt;0,M68*100/L68,0)</f>
        <v>5.1531149567367116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323600</v>
      </c>
      <c r="M71" s="139">
        <f>SUM(M72:M73)</f>
        <v>16675.48</v>
      </c>
      <c r="N71" s="49">
        <f t="shared" ca="1" si="17"/>
        <v>5.1531149567367116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IFERROR(__xludf.DUMMYFUNCTION("IMPORTRANGE(""https://docs.google.com/spreadsheets/d/1C3CXT74ZlgGe6_JY_1olB1XN4rF0dxEuIIF-xsYjHgg/edit?usp=sharing"",""พรบ!AD62"")"),132000)</f>
        <v>132000</v>
      </c>
      <c r="M72" s="53">
        <v>15935.48</v>
      </c>
      <c r="N72" s="52">
        <f t="shared" ca="1" si="17"/>
        <v>12.072333333333333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191600</v>
      </c>
      <c r="M73" s="52">
        <f t="shared" si="18"/>
        <v>740</v>
      </c>
      <c r="N73" s="52">
        <f t="shared" ca="1" si="17"/>
        <v>0.38622129436325681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IFERROR(__xludf.DUMMYFUNCTION("IMPORTRANGE(""https://docs.google.com/spreadsheets/d/1C3CXT74ZlgGe6_JY_1olB1XN4rF0dxEuIIF-xsYjHgg/edit?usp=sharing"",""พรบ!AF62"")"),7500)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1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1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IFERROR(__xludf.DUMMYFUNCTION("IMPORTRANGE(""https://docs.google.com/spreadsheets/d/1C3CXT74ZlgGe6_JY_1olB1XN4rF0dxEuIIF-xsYjHgg/edit?usp=sharing"",""พรบ!AG62"")"),4)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67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67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4</v>
      </c>
      <c r="J89" s="149">
        <f t="shared" si="21"/>
        <v>0</v>
      </c>
      <c r="K89" s="150">
        <f ca="1">IF(I89&gt;0,J89*100/I89,0)</f>
        <v>0</v>
      </c>
      <c r="L89" s="147">
        <f ca="1">L90+L91</f>
        <v>56000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56000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IFERROR(__xludf.DUMMYFUNCTION("IMPORTRANGE(""https://docs.google.com/spreadsheets/d/1C3CXT74ZlgGe6_JY_1olB1XN4rF0dxEuIIF-xsYjHgg/edit?usp=sharing"",""พรบ!AH62"")"),56000)</f>
        <v>56000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1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IFERROR(__xludf.DUMMYFUNCTION("IMPORTRANGE(""https://docs.google.com/spreadsheets/d/1C3CXT74ZlgGe6_JY_1olB1XN4rF0dxEuIIF-xsYjHgg/edit?usp=sharing"",""พรบ!AI62"")"),4)</f>
        <v>4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IFERROR(__xludf.DUMMYFUNCTION("IMPORTRANGE(""https://docs.google.com/spreadsheets/d/1C3CXT74ZlgGe6_JY_1olB1XN4rF0dxEuIIF-xsYjHgg/edit?usp=sharing"",""กปร!C62"")"),48000)</f>
        <v>48000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IFERROR(__xludf.DUMMYFUNCTION("IMPORTRANGE(""https://docs.google.com/spreadsheets/d/1C3CXT74ZlgGe6_JY_1olB1XN4rF0dxEuIIF-xsYjHgg/edit?usp=sharing"",""พรบ!AJ62"")"),0)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IFERROR(__xludf.DUMMYFUNCTION("IMPORTRANGE(""https://docs.google.com/spreadsheets/d/1C3CXT74ZlgGe6_JY_1olB1XN4rF0dxEuIIF-xsYjHgg/edit?usp=sharing"",""พรบ!AK62"")"),0)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IFERROR(__xludf.DUMMYFUNCTION("IMPORTRANGE(""https://docs.google.com/spreadsheets/d/1C3CXT74ZlgGe6_JY_1olB1XN4rF0dxEuIIF-xsYjHgg/edit?usp=sharing"",""กปร!D62"")"),0)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IFERROR(__xludf.DUMMYFUNCTION("IMPORTRANGE(""https://docs.google.com/spreadsheets/d/1C3CXT74ZlgGe6_JY_1olB1XN4rF0dxEuIIF-xsYjHgg/edit?usp=sharing"",""พรบ!AL62"")"),0)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IFERROR(__xludf.DUMMYFUNCTION("IMPORTRANGE(""https://docs.google.com/spreadsheets/d/1C3CXT74ZlgGe6_JY_1olB1XN4rF0dxEuIIF-xsYjHgg/edit?usp=sharing"",""กปร!E62"")"),0)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6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5000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21900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21900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IFERROR(__xludf.DUMMYFUNCTION("IMPORTRANGE(""https://docs.google.com/spreadsheets/d/1C3CXT74ZlgGe6_JY_1olB1XN4rF0dxEuIIF-xsYjHgg/edit?usp=sharing"",""พรบ!AM62"")"),21900)</f>
        <v>21900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1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IFERROR(__xludf.DUMMYFUNCTION("IMPORTRANGE(""https://docs.google.com/spreadsheets/d/1C3CXT74ZlgGe6_JY_1olB1XN4rF0dxEuIIF-xsYjHgg/edit?usp=sharing"",""พรบ!AO62"")"),5000)</f>
        <v>5000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IFERROR(__xludf.DUMMYFUNCTION("IMPORTRANGE(""https://docs.google.com/spreadsheets/d/1C3CXT74ZlgGe6_JY_1olB1XN4rF0dxEuIIF-xsYjHgg/edit?usp=sharing"",""พรบ!AP62"")"),5000)</f>
        <v>5000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IFERROR(__xludf.DUMMYFUNCTION("IMPORTRANGE(""https://docs.google.com/spreadsheets/d/1C3CXT74ZlgGe6_JY_1olB1XN4rF0dxEuIIF-xsYjHgg/edit?usp=sharing"",""กปร!F62"")"),2900)</f>
        <v>2900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IFERROR(__xludf.DUMMYFUNCTION("IMPORTRANGE(""https://docs.google.com/spreadsheets/d/1C3CXT74ZlgGe6_JY_1olB1XN4rF0dxEuIIF-xsYjHgg/edit?usp=sharing"",""พรบ!AQ62"")"),15)</f>
        <v>15</v>
      </c>
      <c r="J126" s="67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IFERROR(__xludf.DUMMYFUNCTION("IMPORTRANGE(""https://docs.google.com/spreadsheets/d/1C3CXT74ZlgGe6_JY_1olB1XN4rF0dxEuIIF-xsYjHgg/edit?usp=sharing"",""กปร!G62"")"),15000)</f>
        <v>15000</v>
      </c>
      <c r="M126" s="361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221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40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106200</v>
      </c>
      <c r="M129" s="147">
        <f>SUM(M130:M131)</f>
        <v>740</v>
      </c>
      <c r="N129" s="147">
        <f t="shared" ref="N129:N132" ca="1" si="33">+IF(L129&gt;0,M129*100/L129,0)</f>
        <v>0.69679849340866296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106200</v>
      </c>
      <c r="M131" s="49">
        <f>M132</f>
        <v>740</v>
      </c>
      <c r="N131" s="49">
        <f t="shared" ca="1" si="33"/>
        <v>0.69679849340866296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47"/>
      <c r="K132" s="48"/>
      <c r="L132" s="52">
        <f ca="1">IFERROR(__xludf.DUMMYFUNCTION("IMPORTRANGE(""https://docs.google.com/spreadsheets/d/1C3CXT74ZlgGe6_JY_1olB1XN4rF0dxEuIIF-xsYjHgg/edit?usp=sharing"",""พรบ!AR62"")"),106200)</f>
        <v>106200</v>
      </c>
      <c r="M132" s="53">
        <v>740</v>
      </c>
      <c r="N132" s="52">
        <f t="shared" ca="1" si="33"/>
        <v>0.69679849340866296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47"/>
      <c r="K133" s="48"/>
      <c r="L133" s="60"/>
      <c r="M133" s="60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7">
        <v>0</v>
      </c>
      <c r="K134" s="48"/>
      <c r="L134" s="60"/>
      <c r="M134" s="60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7">
        <v>1</v>
      </c>
      <c r="K135" s="48"/>
      <c r="L135" s="60" t="s">
        <v>21</v>
      </c>
      <c r="M135" s="60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7">
        <v>1</v>
      </c>
      <c r="K136" s="48"/>
      <c r="L136" s="60"/>
      <c r="M136" s="60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7">
        <v>0</v>
      </c>
      <c r="K137" s="48"/>
      <c r="L137" s="60"/>
      <c r="M137" s="60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IFERROR(__xludf.DUMMYFUNCTION("IMPORTRANGE(""https://docs.google.com/spreadsheets/d/1C3CXT74ZlgGe6_JY_1olB1XN4rF0dxEuIIF-xsYjHgg/edit?usp=sharing"",""พรบ!AS62"")"),40)</f>
        <v>40</v>
      </c>
      <c r="J138" s="67">
        <v>0</v>
      </c>
      <c r="K138" s="48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IFERROR(__xludf.DUMMYFUNCTION("IMPORTRANGE(""https://docs.google.com/spreadsheets/d/1C3CXT74ZlgGe6_JY_1olB1XN4rF0dxEuIIF-xsYjHgg/edit?usp=sharing"",""กปร!H62"")"),41200)</f>
        <v>41200</v>
      </c>
      <c r="M138" s="361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48"/>
      <c r="L139" s="60"/>
      <c r="M139" s="60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IFERROR(__xludf.DUMMYFUNCTION("IMPORTRANGE(""https://docs.google.com/spreadsheets/d/1C3CXT74ZlgGe6_JY_1olB1XN4rF0dxEuIIF-xsYjHgg/edit?usp=sharing"",""พรบ!AT62"")"),40)</f>
        <v>40</v>
      </c>
      <c r="J140" s="67">
        <v>0</v>
      </c>
      <c r="K140" s="48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IFERROR(__xludf.DUMMYFUNCTION("IMPORTRANGE(""https://docs.google.com/spreadsheets/d/1C3CXT74ZlgGe6_JY_1olB1XN4rF0dxEuIIF-xsYjHgg/edit?usp=sharing"",""กปร!I62"")"),40000)</f>
        <v>40000</v>
      </c>
      <c r="M140" s="361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IFERROR(__xludf.DUMMYFUNCTION("IMPORTRANGE(""https://docs.google.com/spreadsheets/d/1C3CXT74ZlgGe6_JY_1olB1XN4rF0dxEuIIF-xsYjHgg/edit?usp=sharing"",""พรบ!AU62"")"),0)</f>
        <v>0</v>
      </c>
      <c r="J141" s="66">
        <v>0</v>
      </c>
      <c r="K141" s="48">
        <f t="shared" ca="1" si="34"/>
        <v>0</v>
      </c>
      <c r="L141" s="52">
        <f ca="1">IFERROR(__xludf.DUMMYFUNCTION("IMPORTRANGE(""https://docs.google.com/spreadsheets/d/1C3CXT74ZlgGe6_JY_1olB1XN4rF0dxEuIIF-xsYjHgg/edit?usp=sharing"",""กปร!J62"")"),0)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7">
        <v>0</v>
      </c>
      <c r="K142" s="48"/>
      <c r="L142" s="60"/>
      <c r="M142" s="60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112">
        <v>0</v>
      </c>
      <c r="K143" s="113"/>
      <c r="L143" s="114"/>
      <c r="M143" s="114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0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0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0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IFERROR(__xludf.DUMMYFUNCTION("IMPORTRANGE(""https://docs.google.com/spreadsheets/d/1C3CXT74ZlgGe6_JY_1olB1XN4rF0dxEuIIF-xsYjHgg/edit?usp=sharing"",""พรบ!AY62"")"),0)</f>
        <v>0</v>
      </c>
      <c r="M148" s="52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0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6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6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6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6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IFERROR(__xludf.DUMMYFUNCTION("IMPORTRANGE(""https://docs.google.com/spreadsheets/d/1C3CXT74ZlgGe6_JY_1olB1XN4rF0dxEuIIF-xsYjHgg/edit?usp=sharing"",""พรบ!BA62"")"),0)</f>
        <v>0</v>
      </c>
      <c r="J155" s="66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6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356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66"/>
      <c r="K172" s="232"/>
      <c r="L172" s="52">
        <f ca="1">IFERROR(__xludf.DUMMYFUNCTION("IMPORTRANGE(""https://docs.google.com/spreadsheets/d/1C3CXT74ZlgGe6_JY_1olB1XN4rF0dxEuIIF-xsYjHgg/edit?usp=sharing"",""พรบ!BD62"")"),0)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66"/>
      <c r="K173" s="232"/>
      <c r="L173" s="52">
        <f ca="1">IFERROR(__xludf.DUMMYFUNCTION("IMPORTRANGE(""https://docs.google.com/spreadsheets/d/1C3CXT74ZlgGe6_JY_1olB1XN4rF0dxEuIIF-xsYjHgg/edit?usp=sharing"",""พรบ!BE62"")"),0)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IFERROR(__xludf.DUMMYFUNCTION("IMPORTRANGE(""https://docs.google.com/spreadsheets/d/1C3CXT74ZlgGe6_JY_1olB1XN4rF0dxEuIIF-xsYjHgg/edit?usp=sharing"",""พรบ!BF62"")"),0)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IFERROR(__xludf.DUMMYFUNCTION("IMPORTRANGE(""https://docs.google.com/spreadsheets/d/1C3CXT74ZlgGe6_JY_1olB1XN4rF0dxEuIIF-xsYjHgg/edit?usp=sharing"",""พรบ!BG62"")"),0)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IFERROR(__xludf.DUMMYFUNCTION("IMPORTRANGE(""https://docs.google.com/spreadsheets/d/1C3CXT74ZlgGe6_JY_1olB1XN4rF0dxEuIIF-xsYjHgg/edit?usp=sharing"",""พรบ!BH62"")"),0)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IFERROR(__xludf.DUMMYFUNCTION("IMPORTRANGE(""https://docs.google.com/spreadsheets/d/1C3CXT74ZlgGe6_JY_1olB1XN4rF0dxEuIIF-xsYjHgg/edit?usp=sharing"",""พรบ!BI62"")"),0)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7">
        <v>0</v>
      </c>
      <c r="K184" s="358"/>
      <c r="L184" s="359"/>
      <c r="M184" s="359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15</v>
      </c>
      <c r="J185" s="177">
        <f>+J195</f>
        <v>0</v>
      </c>
      <c r="K185" s="178">
        <f ca="1">IF(I185&gt;0,J185*100/I185,0)</f>
        <v>0</v>
      </c>
      <c r="L185" s="179">
        <f ca="1">L186+L187</f>
        <v>55200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55200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IFERROR(__xludf.DUMMYFUNCTION("IMPORTRANGE(""https://docs.google.com/spreadsheets/d/1C3CXT74ZlgGe6_JY_1olB1XN4rF0dxEuIIF-xsYjHgg/edit?usp=sharing"",""พรบ!BK62"")"),0)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IFERROR(__xludf.DUMMYFUNCTION("IMPORTRANGE(""https://docs.google.com/spreadsheets/d/1C3CXT74ZlgGe6_JY_1olB1XN4rF0dxEuIIF-xsYjHgg/edit?usp=sharing"",""พรบ!BL62"")"),55200)</f>
        <v>55200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1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0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IFERROR(__xludf.DUMMYFUNCTION("IMPORTRANGE(""https://docs.google.com/spreadsheets/d/1C3CXT74ZlgGe6_JY_1olB1XN4rF0dxEuIIF-xsYjHgg/edit?usp=sharing"",""พรบ!BM62"")"),15)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30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96320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96320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47"/>
      <c r="K203" s="48"/>
      <c r="L203" s="52">
        <f ca="1">IFERROR(__xludf.DUMMYFUNCTION("IMPORTRANGE(""https://docs.google.com/spreadsheets/d/1C3CXT74ZlgGe6_JY_1olB1XN4rF0dxEuIIF-xsYjHgg/edit?usp=sharing"",""พรบ!BP62"")"),96320)</f>
        <v>96320</v>
      </c>
      <c r="M203" s="53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47"/>
      <c r="K204" s="48"/>
      <c r="L204" s="60"/>
      <c r="M204" s="60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7">
        <v>1</v>
      </c>
      <c r="K205" s="48"/>
      <c r="L205" s="60"/>
      <c r="M205" s="60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7">
        <v>0</v>
      </c>
      <c r="K206" s="48"/>
      <c r="L206" s="60" t="s">
        <v>21</v>
      </c>
      <c r="M206" s="60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7">
        <v>0</v>
      </c>
      <c r="K207" s="48"/>
      <c r="L207" s="60"/>
      <c r="M207" s="60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7">
        <v>0</v>
      </c>
      <c r="K208" s="48"/>
      <c r="L208" s="60"/>
      <c r="M208" s="60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IFERROR(__xludf.DUMMYFUNCTION("IMPORTRANGE(""https://docs.google.com/spreadsheets/d/1C3CXT74ZlgGe6_JY_1olB1XN4rF0dxEuIIF-xsYjHgg/edit?usp=sharing"",""พรบ!BQ62"")"),30)</f>
        <v>30</v>
      </c>
      <c r="J209" s="67">
        <v>0</v>
      </c>
      <c r="K209" s="48">
        <f ca="1">IF(I209&gt;0,J209*100/I209,0)</f>
        <v>0</v>
      </c>
      <c r="L209" s="60"/>
      <c r="M209" s="60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48"/>
      <c r="L210" s="60"/>
      <c r="M210" s="60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IFERROR(__xludf.DUMMYFUNCTION("IMPORTRANGE(""https://docs.google.com/spreadsheets/d/1C3CXT74ZlgGe6_JY_1olB1XN4rF0dxEuIIF-xsYjHgg/edit?usp=sharing"",""พรบ!BR62"")"),30)</f>
        <v>30</v>
      </c>
      <c r="J211" s="67">
        <v>0</v>
      </c>
      <c r="K211" s="48">
        <f ca="1">IF(I211&gt;0,J211*100/I211,0)</f>
        <v>0</v>
      </c>
      <c r="L211" s="60"/>
      <c r="M211" s="60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7">
        <v>0</v>
      </c>
      <c r="K212" s="48"/>
      <c r="L212" s="60"/>
      <c r="M212" s="60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187">
        <v>0</v>
      </c>
      <c r="K213" s="48"/>
      <c r="L213" s="60"/>
      <c r="M213" s="60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2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359600</v>
      </c>
      <c r="M214" s="196">
        <f>SUM(M215:M216)</f>
        <v>27520</v>
      </c>
      <c r="N214" s="195">
        <f ca="1">IF(L214&gt;0,M214*100/L214,0)</f>
        <v>7.6529477196885427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359600</v>
      </c>
      <c r="M216" s="52">
        <f t="shared" si="49"/>
        <v>27520</v>
      </c>
      <c r="N216" s="52">
        <f t="shared" ca="1" si="48"/>
        <v>7.6529477196885427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47"/>
      <c r="K218" s="48"/>
      <c r="L218" s="52">
        <f ca="1">IFERROR(__xludf.DUMMYFUNCTION("IMPORTRANGE(""https://docs.google.com/spreadsheets/d/1C3CXT74ZlgGe6_JY_1olB1XN4rF0dxEuIIF-xsYjHgg/edit?usp=sharing"",""พรบ!BU62"")"),359600)</f>
        <v>359600</v>
      </c>
      <c r="M218" s="53">
        <v>27520</v>
      </c>
      <c r="N218" s="52">
        <f t="shared" ca="1" si="48"/>
        <v>7.6529477196885427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47"/>
      <c r="K219" s="48"/>
      <c r="L219" s="60"/>
      <c r="M219" s="60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7">
        <v>1</v>
      </c>
      <c r="K220" s="48"/>
      <c r="L220" s="60"/>
      <c r="M220" s="60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7">
        <v>0</v>
      </c>
      <c r="K221" s="48"/>
      <c r="L221" s="60" t="s">
        <v>21</v>
      </c>
      <c r="M221" s="60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7">
        <v>0</v>
      </c>
      <c r="K222" s="48"/>
      <c r="L222" s="60"/>
      <c r="M222" s="60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7">
        <v>0</v>
      </c>
      <c r="K223" s="48"/>
      <c r="L223" s="60"/>
      <c r="M223" s="60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IFERROR(__xludf.DUMMYFUNCTION("IMPORTRANGE(""https://docs.google.com/spreadsheets/d/1C3CXT74ZlgGe6_JY_1olB1XN4rF0dxEuIIF-xsYjHgg/edit?usp=sharing"",""พรบ!BV62"")"),2)</f>
        <v>2</v>
      </c>
      <c r="J224" s="67">
        <v>0</v>
      </c>
      <c r="K224" s="48">
        <f ca="1">IF(I224&gt;0,J224*100/I224,0)</f>
        <v>0</v>
      </c>
      <c r="L224" s="60"/>
      <c r="M224" s="60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7">
        <v>0</v>
      </c>
      <c r="K225" s="48"/>
      <c r="L225" s="60"/>
      <c r="M225" s="60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84">
        <v>0</v>
      </c>
      <c r="K226" s="48"/>
      <c r="L226" s="60"/>
      <c r="M226" s="60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190</v>
      </c>
      <c r="J228" s="197">
        <f ca="1">J240</f>
        <v>66</v>
      </c>
      <c r="K228" s="178">
        <f ca="1">IF(I228&gt;0,J228*100/I228,0)</f>
        <v>34.736842105263158</v>
      </c>
      <c r="L228" s="179">
        <f ca="1">L229+L230</f>
        <v>893200</v>
      </c>
      <c r="M228" s="179">
        <f>SUM(M229:M230)</f>
        <v>90313.22</v>
      </c>
      <c r="N228" s="178">
        <f ca="1">IF(L228&gt;0,M228*100/L228,0)</f>
        <v>10.111197939991044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893200</v>
      </c>
      <c r="M230" s="52">
        <f t="shared" si="51"/>
        <v>90313.22</v>
      </c>
      <c r="N230" s="52">
        <f t="shared" ca="1" si="50"/>
        <v>10.111197939991044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IFERROR(__xludf.DUMMYFUNCTION("IMPORTRANGE(""https://docs.google.com/spreadsheets/d/1C3CXT74ZlgGe6_JY_1olB1XN4rF0dxEuIIF-xsYjHgg/edit?usp=sharing"",""พรบ!BX62"")"),470000)</f>
        <v>470000</v>
      </c>
      <c r="M231" s="53">
        <v>63753.22</v>
      </c>
      <c r="N231" s="52">
        <f t="shared" ca="1" si="50"/>
        <v>13.564514893617021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IFERROR(__xludf.DUMMYFUNCTION("IMPORTRANGE(""https://docs.google.com/spreadsheets/d/1C3CXT74ZlgGe6_JY_1olB1XN4rF0dxEuIIF-xsYjHgg/edit?usp=sharing"",""พรบ!BY62"")"),423200)</f>
        <v>423200</v>
      </c>
      <c r="M232" s="53">
        <v>26560</v>
      </c>
      <c r="N232" s="52">
        <f t="shared" ca="1" si="50"/>
        <v>6.2759924385633274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IFERROR(__xludf.DUMMYFUNCTION("IMPORTRANGE(""https://docs.google.com/spreadsheets/d/1AGHcLOeeYFL3K4b9R1dSzyJy00PE_ra89DNTVfnxSWM/edit?usp=sharing"",""รวมที่ทำกิน!J51"")"),80)</f>
        <v>80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IFERROR(__xludf.DUMMYFUNCTION("IMPORTRANGE(""https://docs.google.com/spreadsheets/d/1C3CXT74ZlgGe6_JY_1olB1XN4rF0dxEuIIF-xsYjHgg/edit?usp=sharing"",""พรบ!BZ62"")"),2700)</f>
        <v>2700</v>
      </c>
      <c r="J235" s="66">
        <f ca="1">IFERROR(__xludf.DUMMYFUNCTION("IMPORTRANGE(""https://docs.google.com/spreadsheets/d/1AGHcLOeeYFL3K4b9R1dSzyJy00PE_ra89DNTVfnxSWM/edit?usp=sharing"",""รวมที่ทำกิน!L51"")"),794.72)</f>
        <v>794.72</v>
      </c>
      <c r="K235" s="200">
        <f t="shared" ca="1" si="52"/>
        <v>29.434074074074076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IFERROR(__xludf.DUMMYFUNCTION("IMPORTRANGE(""https://docs.google.com/spreadsheets/d/1C3CXT74ZlgGe6_JY_1olB1XN4rF0dxEuIIF-xsYjHgg/edit?usp=sharing"",""พรบ!CA62"")"),190)</f>
        <v>190</v>
      </c>
      <c r="J236" s="66">
        <f ca="1">IFERROR(__xludf.DUMMYFUNCTION("IMPORTRANGE(""https://docs.google.com/spreadsheets/d/1AGHcLOeeYFL3K4b9R1dSzyJy00PE_ra89DNTVfnxSWM/edit?usp=sharing"",""รวมที่ทำกิน!O51"")"),61)</f>
        <v>61</v>
      </c>
      <c r="K236" s="200">
        <f t="shared" ca="1" si="52"/>
        <v>32.10526315789474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IFERROR(__xludf.DUMMYFUNCTION("IMPORTRANGE(""https://docs.google.com/spreadsheets/d/1AGHcLOeeYFL3K4b9R1dSzyJy00PE_ra89DNTVfnxSWM/edit?usp=sharing"",""รวมที่ทำกิน!Q51"")"),551.44)</f>
        <v>551.44000000000005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IFERROR(__xludf.DUMMYFUNCTION("IMPORTRANGE(""https://docs.google.com/spreadsheets/d/1C3CXT74ZlgGe6_JY_1olB1XN4rF0dxEuIIF-xsYjHgg/edit?usp=sharing"",""พรบ!CB62"")"),190)</f>
        <v>190</v>
      </c>
      <c r="J238" s="66">
        <f ca="1">IFERROR(__xludf.DUMMYFUNCTION("IMPORTRANGE(""https://docs.google.com/spreadsheets/d/1AGHcLOeeYFL3K4b9R1dSzyJy00PE_ra89DNTVfnxSWM/edit?usp=sharing"",""รวมที่ทำกิน!S51"")"),0)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IFERROR(__xludf.DUMMYFUNCTION("IMPORTRANGE(""https://docs.google.com/spreadsheets/d/1AGHcLOeeYFL3K4b9R1dSzyJy00PE_ra89DNTVfnxSWM/edit?usp=sharing"",""รวมที่ทำกิน!U51"")"),0)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IFERROR(__xludf.DUMMYFUNCTION("IMPORTRANGE(""https://docs.google.com/spreadsheets/d/1C3CXT74ZlgGe6_JY_1olB1XN4rF0dxEuIIF-xsYjHgg/edit?usp=sharing"",""พรบ!CC62"")"),190)</f>
        <v>190</v>
      </c>
      <c r="J240" s="66">
        <f ca="1">IFERROR(__xludf.DUMMYFUNCTION("IMPORTRANGE(""https://docs.google.com/spreadsheets/d/1AGHcLOeeYFL3K4b9R1dSzyJy00PE_ra89DNTVfnxSWM/edit?usp=sharing"",""รวมที่ทำกิน!W51"")"),66)</f>
        <v>66</v>
      </c>
      <c r="K240" s="200">
        <f t="shared" ca="1" si="52"/>
        <v>34.736842105263158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IFERROR(__xludf.DUMMYFUNCTION("IMPORTRANGE(""https://docs.google.com/spreadsheets/d/1AGHcLOeeYFL3K4b9R1dSzyJy00PE_ra89DNTVfnxSWM/edit?usp=sharing"",""รวมที่ทำกิน!Y51"")"),582.95)</f>
        <v>582.95000000000005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1601534</v>
      </c>
      <c r="M242" s="213">
        <f t="shared" si="53"/>
        <v>13433</v>
      </c>
      <c r="N242" s="213">
        <f ca="1">+IF(L242&gt;0,M242*100/L242,0)</f>
        <v>0.83875834044110209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20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221120</v>
      </c>
      <c r="M244" s="228">
        <f t="shared" si="56"/>
        <v>11113</v>
      </c>
      <c r="N244" s="228">
        <f ca="1">+IF(L244&gt;0,M244*100/L244,0)</f>
        <v>5.0257778581765553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20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221120</v>
      </c>
      <c r="M247" s="49">
        <f t="shared" si="58"/>
        <v>11113</v>
      </c>
      <c r="N247" s="49">
        <f t="shared" ca="1" si="57"/>
        <v>5.0257778581765553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IFERROR(__xludf.DUMMYFUNCTION("IMPORTRANGE(""https://docs.google.com/spreadsheets/d/1C3CXT74ZlgGe6_JY_1olB1XN4rF0dxEuIIF-xsYjHgg/edit?usp=sharing"",""งบกองทุน!d62"")"),0)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IFERROR(__xludf.DUMMYFUNCTION("IMPORTRANGE(""https://docs.google.com/spreadsheets/d/1C3CXT74ZlgGe6_JY_1olB1XN4rF0dxEuIIF-xsYjHgg/edit?usp=sharing"",""งบกองทุน!e62"")"),221120)</f>
        <v>221120</v>
      </c>
      <c r="M249" s="52">
        <f>SUM(M250:M253)</f>
        <v>11113</v>
      </c>
      <c r="N249" s="52">
        <f t="shared" ca="1" si="57"/>
        <v>5.0257778581765553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3"/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3">
        <v>10633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3">
        <v>480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1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0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0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IFERROR(__xludf.DUMMYFUNCTION("IMPORTRANGE(""https://docs.google.com/spreadsheets/d/1C3CXT74ZlgGe6_JY_1olB1XN4rF0dxEuIIF-xsYjHgg/edit?usp=sharing"",""งบกองทุน!f62"")"),0)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20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IFERROR(__xludf.DUMMYFUNCTION("IMPORTRANGE(""https://docs.google.com/spreadsheets/d/1C3CXT74ZlgGe6_JY_1olB1XN4rF0dxEuIIF-xsYjHgg/edit?usp=sharing"",""งบกองทุน!H62"")"),20)</f>
        <v>20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IFERROR(__xludf.DUMMYFUNCTION("IMPORTRANGE(""https://docs.google.com/spreadsheets/d/1C3CXT74ZlgGe6_JY_1olB1XN4rF0dxEuIIF-xsYjHgg/edit?usp=sharing"",""งบกองทุน!i62"")"),20)</f>
        <v>20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20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IFERROR(__xludf.DUMMYFUNCTION("IMPORTRANGE(""https://docs.google.com/spreadsheets/d/1C3CXT74ZlgGe6_JY_1olB1XN4rF0dxEuIIF-xsYjHgg/edit?usp=sharing"",""งบกองทุน!k62"")"),0)</f>
        <v>0</v>
      </c>
      <c r="J266" s="66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20</v>
      </c>
      <c r="J267" s="66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IFERROR(__xludf.DUMMYFUNCTION("IMPORTRANGE(""https://docs.google.com/spreadsheets/d/1C3CXT74ZlgGe6_JY_1olB1XN4rF0dxEuIIF-xsYjHgg/edit?usp=sharing"",""งบกองทุน!m62"")"),0)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20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IFERROR(__xludf.DUMMYFUNCTION("IMPORTRANGE(""https://docs.google.com/spreadsheets/d/1C3CXT74ZlgGe6_JY_1olB1XN4rF0dxEuIIF-xsYjHgg/edit?usp=sharing"",""งบกองทุน!o62"")"),0)</f>
        <v>0</v>
      </c>
      <c r="J271" s="66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IFERROR(__xludf.DUMMYFUNCTION("IMPORTRANGE(""https://docs.google.com/spreadsheets/d/1C3CXT74ZlgGe6_JY_1olB1XN4rF0dxEuIIF-xsYjHgg/edit?usp=sharing"",""งบกองทุน!p62"")"),20)</f>
        <v>20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500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460140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50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460140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IFERROR(__xludf.DUMMYFUNCTION("IMPORTRANGE(""https://docs.google.com/spreadsheets/d/1C3CXT74ZlgGe6_JY_1olB1XN4rF0dxEuIIF-xsYjHgg/edit?usp=sharing"",""งบกองทุน!r62"")"),0)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IFERROR(__xludf.DUMMYFUNCTION("IMPORTRANGE(""https://docs.google.com/spreadsheets/d/1C3CXT74ZlgGe6_JY_1olB1XN4rF0dxEuIIF-xsYjHgg/edit?usp=sharing"",""งบกองทุน!s62"")"),460140)</f>
        <v>460140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0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IFERROR(__xludf.DUMMYFUNCTION("IMPORTRANGE(""https://docs.google.com/spreadsheets/d/1C3CXT74ZlgGe6_JY_1olB1XN4rF0dxEuIIF-xsYjHgg/edit?usp=sharing"",""งบกองทุน!v62"")"),50)</f>
        <v>50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IFERROR(__xludf.DUMMYFUNCTION("IMPORTRANGE(""https://docs.google.com/spreadsheets/d/1C3CXT74ZlgGe6_JY_1olB1XN4rF0dxEuIIF-xsYjHgg/edit?usp=sharing"",""งบกองทุน!w62"")"),500)</f>
        <v>500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IFERROR(__xludf.DUMMYFUNCTION("IMPORTRANGE(""https://docs.google.com/spreadsheets/d/1C3CXT74ZlgGe6_JY_1olB1XN4rF0dxEuIIF-xsYjHgg/edit?usp=sharing"",""งบกองทุน!x62"")"),50)</f>
        <v>50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90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101920</v>
      </c>
      <c r="M296" s="228">
        <f t="shared" si="69"/>
        <v>2320</v>
      </c>
      <c r="N296" s="228">
        <f ca="1">+IF(L296&gt;0,M296*100/L296,0)</f>
        <v>2.2762951334379906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30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101920</v>
      </c>
      <c r="M299" s="52">
        <f t="shared" si="71"/>
        <v>2320</v>
      </c>
      <c r="N299" s="52">
        <f t="shared" ca="1" si="70"/>
        <v>2.2762951334379906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IFERROR(__xludf.DUMMYFUNCTION("IMPORTRANGE(""https://docs.google.com/spreadsheets/d/1C3CXT74ZlgGe6_JY_1olB1XN4rF0dxEuIIF-xsYjHgg/edit?usp=sharing"",""งบกองทุน!z62"")"),0)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IFERROR(__xludf.DUMMYFUNCTION("IMPORTRANGE(""https://docs.google.com/spreadsheets/d/1C3CXT74ZlgGe6_JY_1olB1XN4rF0dxEuIIF-xsYjHgg/edit?usp=sharing"",""งบกองทุน!aa62"")"),101920)</f>
        <v>101920</v>
      </c>
      <c r="M301" s="52">
        <f>SUM(M302:M305)</f>
        <v>2320</v>
      </c>
      <c r="N301" s="52">
        <f t="shared" ca="1" si="70"/>
        <v>2.2762951334379906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2320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1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30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IFERROR(__xludf.DUMMYFUNCTION("IMPORTRANGE(""https://docs.google.com/spreadsheets/d/1C3CXT74ZlgGe6_JY_1olB1XN4rF0dxEuIIF-xsYjHgg/edit?usp=sharing"",""งบกองทุน!ae62"")"),0)</f>
        <v>0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IFERROR(__xludf.DUMMYFUNCTION("IMPORTRANGE(""https://docs.google.com/spreadsheets/d/1C3CXT74ZlgGe6_JY_1olB1XN4rF0dxEuIIF-xsYjHgg/edit?usp=sharing"",""งบกองทุน!ad62"")"),0)</f>
        <v>0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IFERROR(__xludf.DUMMYFUNCTION("IMPORTRANGE(""https://docs.google.com/spreadsheets/d/1C3CXT74ZlgGe6_JY_1olB1XN4rF0dxEuIIF-xsYjHgg/edit?usp=sharing"",""งบกองทุน!af62"")"),0)</f>
        <v>0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IFERROR(__xludf.DUMMYFUNCTION("IMPORTRANGE(""https://docs.google.com/spreadsheets/d/1C3CXT74ZlgGe6_JY_1olB1XN4rF0dxEuIIF-xsYjHgg/edit?usp=sharing"",""งบกองทุน!ag62"")"),0)</f>
        <v>0</v>
      </c>
      <c r="J315" s="247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IFERROR(__xludf.DUMMYFUNCTION("IMPORTRANGE(""https://docs.google.com/spreadsheets/d/1C3CXT74ZlgGe6_JY_1olB1XN4rF0dxEuIIF-xsYjHgg/edit?usp=sharing"",""งบกองทุน!ai62"")"),20)</f>
        <v>20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IFERROR(__xludf.DUMMYFUNCTION("IMPORTRANGE(""https://docs.google.com/spreadsheets/d/1C3CXT74ZlgGe6_JY_1olB1XN4rF0dxEuIIF-xsYjHgg/edit?usp=sharing"",""งบกองทุน!ah62"")"),60)</f>
        <v>60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IFERROR(__xludf.DUMMYFUNCTION("IMPORTRANGE(""https://docs.google.com/spreadsheets/d/1C3CXT74ZlgGe6_JY_1olB1XN4rF0dxEuIIF-xsYjHgg/edit?usp=sharing"",""งบกองทุน!aj62"")"),20)</f>
        <v>20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IFERROR(__xludf.DUMMYFUNCTION("IMPORTRANGE(""https://docs.google.com/spreadsheets/d/1C3CXT74ZlgGe6_JY_1olB1XN4rF0dxEuIIF-xsYjHgg/edit?usp=sharing"",""งบกองทุน!ak62"")"),20)</f>
        <v>20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IFERROR(__xludf.DUMMYFUNCTION("IMPORTRANGE(""https://docs.google.com/spreadsheets/d/1C3CXT74ZlgGe6_JY_1olB1XN4rF0dxEuIIF-xsYjHgg/edit?usp=sharing"",""งบกองทุน!al62"")"),20)</f>
        <v>20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IFERROR(__xludf.DUMMYFUNCTION("IMPORTRANGE(""https://docs.google.com/spreadsheets/d/1C3CXT74ZlgGe6_JY_1olB1XN4rF0dxEuIIF-xsYjHgg/edit?usp=sharing"",""งบกองทุน!an62"")"),10)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IFERROR(__xludf.DUMMYFUNCTION("IMPORTRANGE(""https://docs.google.com/spreadsheets/d/1C3CXT74ZlgGe6_JY_1olB1XN4rF0dxEuIIF-xsYjHgg/edit?usp=sharing"",""งบกองทุน!am62"")"),30)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IFERROR(__xludf.DUMMYFUNCTION("IMPORTRANGE(""https://docs.google.com/spreadsheets/d/1C3CXT74ZlgGe6_JY_1olB1XN4rF0dxEuIIF-xsYjHgg/edit?usp=sharing"",""งบกองทุน!ao62"")"),10)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IFERROR(__xludf.DUMMYFUNCTION("IMPORTRANGE(""https://docs.google.com/spreadsheets/d/1C3CXT74ZlgGe6_JY_1olB1XN4rF0dxEuIIF-xsYjHgg/edit?usp=sharing"",""งบกองทุน!ap62"")"),10)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20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IFERROR(__xludf.DUMMYFUNCTION("IMPORTRANGE(""https://docs.google.com/spreadsheets/d/1C3CXT74ZlgGe6_JY_1olB1XN4rF0dxEuIIF-xsYjHgg/edit?usp=sharing"",""งบกองทุน!ar62"")"),0)</f>
        <v>0</v>
      </c>
      <c r="J326" s="66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IFERROR(__xludf.DUMMYFUNCTION("IMPORTRANGE(""https://docs.google.com/spreadsheets/d/1C3CXT74ZlgGe6_JY_1olB1XN4rF0dxEuIIF-xsYjHgg/edit?usp=sharing"",""งบกองทุน!as62"")"),20)</f>
        <v>20</v>
      </c>
      <c r="J327" s="66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15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83000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83000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IFERROR(__xludf.DUMMYFUNCTION("IMPORTRANGE(""https://docs.google.com/spreadsheets/d/1C3CXT74ZlgGe6_JY_1olB1XN4rF0dxEuIIF-xsYjHgg/edit?usp=sharing"",""งบกองทุน!au62"")"),0)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IFERROR(__xludf.DUMMYFUNCTION("IMPORTRANGE(""https://docs.google.com/spreadsheets/d/1C3CXT74ZlgGe6_JY_1olB1XN4rF0dxEuIIF-xsYjHgg/edit?usp=sharing"",""งบกองทุน!av62"")"),83000)</f>
        <v>83000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1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15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IFERROR(__xludf.DUMMYFUNCTION("IMPORTRANGE(""https://docs.google.com/spreadsheets/d/1C3CXT74ZlgGe6_JY_1olB1XN4rF0dxEuIIF-xsYjHgg/edit?usp=sharing"",""งบกองทุน!ay62"")"),15)</f>
        <v>15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IFERROR(__xludf.DUMMYFUNCTION("IMPORTRANGE(""https://docs.google.com/spreadsheets/d/1C3CXT74ZlgGe6_JY_1olB1XN4rF0dxEuIIF-xsYjHgg/edit?usp=sharing"",""งบกองทุน!az62"")"),0)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IFERROR(__xludf.DUMMYFUNCTION("IMPORTRANGE(""https://docs.google.com/spreadsheets/d/1C3CXT74ZlgGe6_JY_1olB1XN4rF0dxEuIIF-xsYjHgg/edit?usp=sharing"",""งบกองทุน!Ba62"")"),0)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69028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577044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577044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IFERROR(__xludf.DUMMYFUNCTION("IMPORTRANGE(""https://docs.google.com/spreadsheets/d/1C3CXT74ZlgGe6_JY_1olB1XN4rF0dxEuIIF-xsYjHgg/edit?usp=sharing"",""งบกองทุน!Bc62"")"),0)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IFERROR(__xludf.DUMMYFUNCTION("IMPORTRANGE(""https://docs.google.com/spreadsheets/d/1C3CXT74ZlgGe6_JY_1olB1XN4rF0dxEuIIF-xsYjHgg/edit?usp=sharing"",""งบกองทุน!Bd62"")"),577044)</f>
        <v>577044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IFERROR(__xludf.DUMMYFUNCTION("IMPORTRANGE(""https://docs.google.com/spreadsheets/d/1C3CXT74ZlgGe6_JY_1olB1XN4rF0dxEuIIF-xsYjHgg/edit?usp=sharing"",""งบกองทุน!BE62"")"),69028)</f>
        <v>69028</v>
      </c>
      <c r="J359" s="136">
        <f>+J376</f>
        <v>0</v>
      </c>
      <c r="K359" s="137">
        <f t="shared" ref="K359:K408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IFERROR(__xludf.DUMMYFUNCTION("IMPORTRANGE(""https://docs.google.com/spreadsheets/d/1C3CXT74ZlgGe6_JY_1olB1XN4rF0dxEuIIF-xsYjHgg/edit?usp=sharing"",""งบกองทุน!BE62"")"),69028)</f>
        <v>69028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IFERROR(__xludf.DUMMYFUNCTION("IMPORTRANGE(""https://docs.google.com/spreadsheets/d/1C3CXT74ZlgGe6_JY_1olB1XN4rF0dxEuIIF-xsYjHgg/edit?usp=sharing"",""งบกองทุน!Bf62"")"),5288)</f>
        <v>5288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69028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265">
        <f ca="1">I361</f>
        <v>5288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69028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265">
        <f ca="1">I361</f>
        <v>5288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IFERROR(__xludf.DUMMYFUNCTION("IMPORTRANGE(""https://docs.google.com/spreadsheets/d/1C3CXT74ZlgGe6_JY_1olB1XN4rF0dxEuIIF-xsYjHgg/edit?usp=sharing"",""งบกองทุน!cd62"")"),3158)</f>
        <v>3158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IFERROR(__xludf.DUMMYFUNCTION("IMPORTRANGE(""https://docs.google.com/spreadsheets/d/1C3CXT74ZlgGe6_JY_1olB1XN4rF0dxEuIIF-xsYjHgg/edit?usp=sharing"",""งบกองทุน!cd62"")"),3158)</f>
        <v>3158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IFERROR(__xludf.DUMMYFUNCTION("IMPORTRANGE(""https://docs.google.com/spreadsheets/d/1C3CXT74ZlgGe6_JY_1olB1XN4rF0dxEuIIF-xsYjHgg/edit?usp=sharing"",""งบกองทุน!cc62"")"),178)</f>
        <v>178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IFERROR(__xludf.DUMMYFUNCTION("IMPORTRANGE(""https://docs.google.com/spreadsheets/d/1C3CXT74ZlgGe6_JY_1olB1XN4rF0dxEuIIF-xsYjHgg/edit?usp=sharing"",""งบกองทุน!cz62"")"),0)</f>
        <v>0</v>
      </c>
      <c r="J409" s="136">
        <v>0</v>
      </c>
      <c r="K409" s="137"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IFERROR(__xludf.DUMMYFUNCTION("IMPORTRANGE(""https://docs.google.com/spreadsheets/d/1C3CXT74ZlgGe6_JY_1olB1XN4rF0dxEuIIF-xsYjHgg/edit?usp=sharing"",""งบกองทุน!cz62"")"),0)</f>
        <v>0</v>
      </c>
      <c r="J410" s="149">
        <v>0</v>
      </c>
      <c r="K410" s="146"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IFERROR(__xludf.DUMMYFUNCTION("IMPORTRANGE(""https://docs.google.com/spreadsheets/d/1C3CXT74ZlgGe6_JY_1olB1XN4rF0dxEuIIF-xsYjHgg/edit?usp=sharing"",""งบกองทุน!cy62"")"),0)</f>
        <v>0</v>
      </c>
      <c r="J411" s="149">
        <v>0</v>
      </c>
      <c r="K411" s="146"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IFERROR(__xludf.DUMMYFUNCTION("IMPORTRANGE(""https://docs.google.com/spreadsheets/d/1C3CXT74ZlgGe6_JY_1olB1XN4rF0dxEuIIF-xsYjHgg/edit?usp=sharing"",""งบกองทุน!db62"")"),0)</f>
        <v>0</v>
      </c>
      <c r="K412" s="48"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IFERROR(__xludf.DUMMYFUNCTION("IMPORTRANGE(""https://docs.google.com/spreadsheets/d/1C3CXT74ZlgGe6_JY_1olB1XN4rF0dxEuIIF-xsYjHgg/edit?usp=sharing"",""งบกองทุน!da62"")"),0)</f>
        <v>0</v>
      </c>
      <c r="K413" s="48"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IFERROR(__xludf.DUMMYFUNCTION("IMPORTRANGE(""https://docs.google.com/spreadsheets/d/1C3CXT74ZlgGe6_JY_1olB1XN4rF0dxEuIIF-xsYjHgg/edit?usp=sharing"",""งบกองทุน!dd62"")"),0)</f>
        <v>0</v>
      </c>
      <c r="K414" s="48"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IFERROR(__xludf.DUMMYFUNCTION("IMPORTRANGE(""https://docs.google.com/spreadsheets/d/1C3CXT74ZlgGe6_JY_1olB1XN4rF0dxEuIIF-xsYjHgg/edit?usp=sharing"",""งบกองทุน!dc62"")"),0)</f>
        <v>0</v>
      </c>
      <c r="K415" s="48"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IFERROR(__xludf.DUMMYFUNCTION("IMPORTRANGE(""https://docs.google.com/spreadsheets/d/1C3CXT74ZlgGe6_JY_1olB1XN4rF0dxEuIIF-xsYjHgg/edit?usp=sharing"",""งบกองทุน!df62"")"),0)</f>
        <v>0</v>
      </c>
      <c r="K416" s="48"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IFERROR(__xludf.DUMMYFUNCTION("IMPORTRANGE(""https://docs.google.com/spreadsheets/d/1C3CXT74ZlgGe6_JY_1olB1XN4rF0dxEuIIF-xsYjHgg/edit?usp=sharing"",""งบกองทุน!de62"")"),0)</f>
        <v>0</v>
      </c>
      <c r="K417" s="48"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4">
        <v>0</v>
      </c>
      <c r="J425" s="300">
        <v>0</v>
      </c>
      <c r="K425" s="301"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20</v>
      </c>
      <c r="J426" s="257">
        <f t="shared" si="91"/>
        <v>0</v>
      </c>
      <c r="K426" s="258">
        <f ca="1">IF(I426&gt;0,J426*100/I426,0)</f>
        <v>0</v>
      </c>
      <c r="L426" s="259">
        <f t="shared" ref="L426:M426" ca="1" si="92">SUM(L427:L428)</f>
        <v>32640</v>
      </c>
      <c r="M426" s="259">
        <f t="shared" si="92"/>
        <v>0</v>
      </c>
      <c r="N426" s="259">
        <f t="shared" ref="N426:N430" ca="1" si="93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32640</v>
      </c>
      <c r="M428" s="52">
        <f t="shared" si="94"/>
        <v>0</v>
      </c>
      <c r="N428" s="52">
        <f t="shared" ca="1" si="93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IFERROR(__xludf.DUMMYFUNCTION("IMPORTRANGE(""https://docs.google.com/spreadsheets/d/1C3CXT74ZlgGe6_JY_1olB1XN4rF0dxEuIIF-xsYjHgg/edit?usp=sharing"",""งบกองทุน!dn62"")"),0)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IFERROR(__xludf.DUMMYFUNCTION("IMPORTRANGE(""https://docs.google.com/spreadsheets/d/1C3CXT74ZlgGe6_JY_1olB1XN4rF0dxEuIIF-xsYjHgg/edit?usp=sharing"",""งบกองทุน!do62"")"),32640)</f>
        <v>32640</v>
      </c>
      <c r="M430" s="52">
        <f>SUM(M431:M434)</f>
        <v>0</v>
      </c>
      <c r="N430" s="52">
        <f t="shared" ca="1" si="93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IFERROR(__xludf.DUMMYFUNCTION("IMPORTRANGE(""https://docs.google.com/spreadsheets/d/1C3CXT74ZlgGe6_JY_1olB1XN4rF0dxEuIIF-xsYjHgg/edit?usp=sharing"",""งบกองทุน!dq62"")"),20)</f>
        <v>20</v>
      </c>
      <c r="J440" s="67">
        <v>0</v>
      </c>
      <c r="K440" s="48">
        <f t="shared" ref="K440:K441" ca="1" si="95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IFERROR(__xludf.DUMMYFUNCTION("IMPORTRANGE(""https://docs.google.com/spreadsheets/d/1C3CXT74ZlgGe6_JY_1olB1XN4rF0dxEuIIF-xsYjHgg/edit?usp=sharing"",""งบกองทุน!dr62"")"),20)</f>
        <v>20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IFERROR(__xludf.DUMMYFUNCTION("IMPORTRANGE(""https://docs.google.com/spreadsheets/d/1C3CXT74ZlgGe6_JY_1olB1XN4rF0dxEuIIF-xsYjHgg/edit?usp=sharing"",""งบกองทุน!dt62"")"),0)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IFERROR(__xludf.DUMMYFUNCTION("IMPORTRANGE(""https://docs.google.com/spreadsheets/d/1C3CXT74ZlgGe6_JY_1olB1XN4rF0dxEuIIF-xsYjHgg/edit?usp=sharing"",""งบกองทุน!du62"")"),0)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IFERROR(__xludf.DUMMYFUNCTION("IMPORTRANGE(""https://docs.google.com/spreadsheets/d/1C3CXT74ZlgGe6_JY_1olB1XN4rF0dxEuIIF-xsYjHgg/edit?usp=sharing"",""งบกองทุน!dw62"")"),0)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IFERROR(__xludf.DUMMYFUNCTION("IMPORTRANGE(""https://docs.google.com/spreadsheets/d/1C3CXT74ZlgGe6_JY_1olB1XN4rF0dxEuIIF-xsYjHgg/edit?usp=sharing"",""งบกองทุน!dx62"")"),0)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IFERROR(__xludf.DUMMYFUNCTION("IMPORTRANGE(""https://docs.google.com/spreadsheets/d/1C3CXT74ZlgGe6_JY_1olB1XN4rF0dxEuIIF-xsYjHgg/edit?usp=sharing"",""งบกองทุน!dy62"")"),0)</f>
        <v>0</v>
      </c>
      <c r="J455" s="66">
        <v>0</v>
      </c>
      <c r="K455" s="48">
        <f t="shared" ca="1" si="100"/>
        <v>0</v>
      </c>
      <c r="L455" s="60"/>
      <c r="M455" s="60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IFERROR(__xludf.DUMMYFUNCTION("IMPORTRANGE(""https://docs.google.com/spreadsheets/d/1C3CXT74ZlgGe6_JY_1olB1XN4rF0dxEuIIF-xsYjHgg/edit?usp=sharing"",""งบกองทุน!dz62"")"),0)</f>
        <v>0</v>
      </c>
      <c r="J456" s="66">
        <v>0</v>
      </c>
      <c r="K456" s="48">
        <f t="shared" ca="1" si="100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900</v>
      </c>
      <c r="J457" s="226">
        <f>+J466</f>
        <v>0</v>
      </c>
      <c r="K457" s="227">
        <f t="shared" ca="1" si="100"/>
        <v>0</v>
      </c>
      <c r="L457" s="228">
        <f t="shared" ref="L457:M457" ca="1" si="101">SUM(L458:L459)</f>
        <v>121120</v>
      </c>
      <c r="M457" s="228">
        <f t="shared" si="101"/>
        <v>0</v>
      </c>
      <c r="N457" s="228">
        <f t="shared" ref="N457:N461" ca="1" si="102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121120</v>
      </c>
      <c r="M459" s="52">
        <f t="shared" si="103"/>
        <v>0</v>
      </c>
      <c r="N459" s="52">
        <f t="shared" ca="1" si="102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IFERROR(__xludf.DUMMYFUNCTION("IMPORTRANGE(""https://docs.google.com/spreadsheets/d/1C3CXT74ZlgGe6_JY_1olB1XN4rF0dxEuIIF-xsYjHgg/edit?usp=sharing"",""งบกองทุน!Eb62"")"),0)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IFERROR(__xludf.DUMMYFUNCTION("IMPORTRANGE(""https://docs.google.com/spreadsheets/d/1C3CXT74ZlgGe6_JY_1olB1XN4rF0dxEuIIF-xsYjHgg/edit?usp=sharing"",""งบกองทุน!Ec62"")"),121120)</f>
        <v>121120</v>
      </c>
      <c r="M461" s="52">
        <f>SUM(M462:M465)</f>
        <v>0</v>
      </c>
      <c r="N461" s="52">
        <f t="shared" ca="1" si="102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IFERROR(__xludf.DUMMYFUNCTION("IMPORTRANGE(""https://docs.google.com/spreadsheets/d/1C3CXT74ZlgGe6_JY_1olB1XN4rF0dxEuIIF-xsYjHgg/edit?usp=sharing"",""งบกองทุน!Ed62"")"),900)</f>
        <v>900</v>
      </c>
      <c r="J466" s="265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0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0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IFERROR(__xludf.DUMMYFUNCTION("IMPORTRANGE(""https://docs.google.com/spreadsheets/d/1C3CXT74ZlgGe6_JY_1olB1XN4rF0dxEuIIF-xsYjHgg/edit?usp=sharing"",""งบกองทุน!Ek62"")"),0)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IFERROR(__xludf.DUMMYFUNCTION("IMPORTRANGE(""https://docs.google.com/spreadsheets/d/1C3CXT74ZlgGe6_JY_1olB1XN4rF0dxEuIIF-xsYjHgg/edit?usp=sharing"",""งบกองทุน!El62"")"),0)</f>
        <v>0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IFERROR(__xludf.DUMMYFUNCTION("IMPORTRANGE(""https://docs.google.com/spreadsheets/d/1C3CXT74ZlgGe6_JY_1olB1XN4rF0dxEuIIF-xsYjHgg/edit?usp=sharing"",""งบกองทุน!Em62"")"),0)</f>
        <v>0</v>
      </c>
      <c r="J482" s="66">
        <f ca="1">IFERROR(__xludf.DUMMYFUNCTION("IMPORTRANGE(""https://docs.google.com/spreadsheets/d/1AGHcLOeeYFL3K4b9R1dSzyJy00PE_ra89DNTVfnxSWM/edit?usp=sharing"",""รวมที่ชุมชน!G51"")"),0)</f>
        <v>0</v>
      </c>
      <c r="K482" s="232">
        <f t="shared" ref="K482:K489" ca="1" si="107">IF(I482&gt;0,J482*100/I482,0)</f>
        <v>0</v>
      </c>
      <c r="L482" s="52"/>
      <c r="M482" s="52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IFERROR(__xludf.DUMMYFUNCTION("IMPORTRANGE(""https://docs.google.com/spreadsheets/d/1C3CXT74ZlgGe6_JY_1olB1XN4rF0dxEuIIF-xsYjHgg/edit?usp=sharing"",""งบกองทุน!En62"")"),0)</f>
        <v>0</v>
      </c>
      <c r="J483" s="66">
        <f ca="1">IFERROR(__xludf.DUMMYFUNCTION("IMPORTRANGE(""https://docs.google.com/spreadsheets/d/1AGHcLOeeYFL3K4b9R1dSzyJy00PE_ra89DNTVfnxSWM/edit?usp=sharing"",""รวมที่ชุมชน!H51"")"),0)</f>
        <v>0</v>
      </c>
      <c r="K483" s="200">
        <f t="shared" ca="1" si="107"/>
        <v>0</v>
      </c>
      <c r="L483" s="52"/>
      <c r="M483" s="52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IFERROR(__xludf.DUMMYFUNCTION("IMPORTRANGE(""https://docs.google.com/spreadsheets/d/1C3CXT74ZlgGe6_JY_1olB1XN4rF0dxEuIIF-xsYjHgg/edit?usp=sharing"",""งบกองทุน!Eo62"")"),0)</f>
        <v>0</v>
      </c>
      <c r="J484" s="66">
        <f ca="1">IFERROR(__xludf.DUMMYFUNCTION("IMPORTRANGE(""https://docs.google.com/spreadsheets/d/1AGHcLOeeYFL3K4b9R1dSzyJy00PE_ra89DNTVfnxSWM/edit?usp=sharing"",""รวมที่ชุมชน!J51"")"),0)</f>
        <v>0</v>
      </c>
      <c r="K484" s="232">
        <f t="shared" ca="1" si="107"/>
        <v>0</v>
      </c>
      <c r="L484" s="52"/>
      <c r="M484" s="52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IFERROR(__xludf.DUMMYFUNCTION("IMPORTRANGE(""https://docs.google.com/spreadsheets/d/1C3CXT74ZlgGe6_JY_1olB1XN4rF0dxEuIIF-xsYjHgg/edit?usp=sharing"",""งบกองทุน!Ep62"")"),0)</f>
        <v>0</v>
      </c>
      <c r="J485" s="66">
        <f ca="1">IFERROR(__xludf.DUMMYFUNCTION("IMPORTRANGE(""https://docs.google.com/spreadsheets/d/1AGHcLOeeYFL3K4b9R1dSzyJy00PE_ra89DNTVfnxSWM/edit?usp=sharing"",""รวมที่ชุมชน!L51"")"),0)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IFERROR(__xludf.DUMMYFUNCTION("IMPORTRANGE(""https://docs.google.com/spreadsheets/d/1C3CXT74ZlgGe6_JY_1olB1XN4rF0dxEuIIF-xsYjHgg/edit?usp=sharing"",""งบกองทุน!Eq62"")"),0)</f>
        <v>0</v>
      </c>
      <c r="J486" s="66">
        <f ca="1">IFERROR(__xludf.DUMMYFUNCTION("IMPORTRANGE(""https://docs.google.com/spreadsheets/d/1AGHcLOeeYFL3K4b9R1dSzyJy00PE_ra89DNTVfnxSWM/edit?usp=sharing"",""รวมที่ชุมชน!S51"")"),0)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IFERROR(__xludf.DUMMYFUNCTION("IMPORTRANGE(""https://docs.google.com/spreadsheets/d/1C3CXT74ZlgGe6_JY_1olB1XN4rF0dxEuIIF-xsYjHgg/edit?usp=sharing"",""งบกองทุน!Er62"")"),0)</f>
        <v>0</v>
      </c>
      <c r="J487" s="66">
        <f ca="1">IFERROR(__xludf.DUMMYFUNCTION("IMPORTRANGE(""https://docs.google.com/spreadsheets/d/1AGHcLOeeYFL3K4b9R1dSzyJy00PE_ra89DNTVfnxSWM/edit?usp=sharing"",""รวมที่ชุมชน!U51"")"),0)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IFERROR(__xludf.DUMMYFUNCTION("IMPORTRANGE(""https://docs.google.com/spreadsheets/d/1C3CXT74ZlgGe6_JY_1olB1XN4rF0dxEuIIF-xsYjHgg/edit?usp=sharing"",""งบกองทุน!Es62"")"),0)</f>
        <v>0</v>
      </c>
      <c r="J488" s="66">
        <f ca="1">IFERROR(__xludf.DUMMYFUNCTION("IMPORTRANGE(""https://docs.google.com/spreadsheets/d/1AGHcLOeeYFL3K4b9R1dSzyJy00PE_ra89DNTVfnxSWM/edit?usp=sharing"",""รวมที่ชุมชน!V51"")"),0)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IFERROR(__xludf.DUMMYFUNCTION("IMPORTRANGE(""https://docs.google.com/spreadsheets/d/1C3CXT74ZlgGe6_JY_1olB1XN4rF0dxEuIIF-xsYjHgg/edit?usp=sharing"",""งบกองทุน!Et62"")"),0)</f>
        <v>0</v>
      </c>
      <c r="J489" s="111">
        <f ca="1">IFERROR(__xludf.DUMMYFUNCTION("IMPORTRANGE(""https://docs.google.com/spreadsheets/d/1AGHcLOeeYFL3K4b9R1dSzyJy00PE_ra89DNTVfnxSWM/edit?usp=sharing"",""รวมที่ชุมชน!X51"")"),0)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50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4550</v>
      </c>
      <c r="M490" s="259">
        <f>SUM(M491:M492)</f>
        <v>0</v>
      </c>
      <c r="N490" s="259">
        <f t="shared" ref="N490:N494" ca="1" si="109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4550</v>
      </c>
      <c r="M492" s="52">
        <f t="shared" si="110"/>
        <v>0</v>
      </c>
      <c r="N492" s="52">
        <f t="shared" ca="1" si="109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IFERROR(__xludf.DUMMYFUNCTION("IMPORTRANGE(""https://docs.google.com/spreadsheets/d/1C3CXT74ZlgGe6_JY_1olB1XN4rF0dxEuIIF-xsYjHgg/edit?usp=sharing"",""งบกองทุน!Ev62"")"),0)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IFERROR(__xludf.DUMMYFUNCTION("IMPORTRANGE(""https://docs.google.com/spreadsheets/d/1C3CXT74ZlgGe6_JY_1olB1XN4rF0dxEuIIF-xsYjHgg/edit?usp=sharing"",""งบกองทุน!Ew62"")"),4550)</f>
        <v>4550</v>
      </c>
      <c r="M494" s="52">
        <f>SUM(M495:M498)</f>
        <v>0</v>
      </c>
      <c r="N494" s="52">
        <f t="shared" ca="1" si="109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1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IFERROR(__xludf.DUMMYFUNCTION("IMPORTRANGE(""https://docs.google.com/spreadsheets/d/1C3CXT74ZlgGe6_JY_1olB1XN4rF0dxEuIIF-xsYjHgg/edit?usp=sharing"",""งบกองทุน!EZ62"")"),50)</f>
        <v>50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IFERROR(__xludf.DUMMYFUNCTION("IMPORTRANGE(""https://docs.google.com/spreadsheets/d/1C3CXT74ZlgGe6_JY_1olB1XN4rF0dxEuIIF-xsYjHgg/edit?usp=sharing"",""งบกองทุน!ff62"")"),0)</f>
        <v>0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IFERROR(__xludf.DUMMYFUNCTION("IMPORTRANGE(""https://docs.google.com/spreadsheets/d/1muirlRDkqiswvy_NRZ3Yh955hx-PF6_HhssUYiSJj8o/edit?usp=sharing"",""กองทุน!D62"")"),9955669.64)</f>
        <v>9955669.6400000006</v>
      </c>
      <c r="J521" s="199">
        <f ca="1">IFERROR(__xludf.DUMMYFUNCTION("IMPORTRANGE(""https://docs.google.com/spreadsheets/d/1muirlRDkqiswvy_NRZ3Yh955hx-PF6_HhssUYiSJj8o/edit?usp=sharing"",""กองทุน!F62"")"),0)</f>
        <v>0</v>
      </c>
      <c r="K521" s="200">
        <f t="shared" ref="K521:K528" ca="1" si="116">IF(I521&gt;0,J521*100/I521,0)</f>
        <v>0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IFERROR(__xludf.DUMMYFUNCTION("IMPORTRANGE(""https://docs.google.com/spreadsheets/d/1muirlRDkqiswvy_NRZ3Yh955hx-PF6_HhssUYiSJj8o/edit?usp=sharing"",""กองทุน!C62"")"),249)</f>
        <v>249</v>
      </c>
      <c r="J522" s="199">
        <f ca="1">IFERROR(__xludf.DUMMYFUNCTION("IMPORTRANGE(""https://docs.google.com/spreadsheets/d/1muirlRDkqiswvy_NRZ3Yh955hx-PF6_HhssUYiSJj8o/edit?usp=sharing"",""กองทุน!E62"")"),0)</f>
        <v>0</v>
      </c>
      <c r="K522" s="200">
        <f t="shared" ca="1" si="116"/>
        <v>0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IFERROR(__xludf.DUMMYFUNCTION("IMPORTRANGE(""https://docs.google.com/spreadsheets/d/1muirlRDkqiswvy_NRZ3Yh955hx-PF6_HhssUYiSJj8o/edit?usp=sharing"",""กองทุน!I62"")"),186084.82)</f>
        <v>186084.82</v>
      </c>
      <c r="J523" s="199">
        <f ca="1">IFERROR(__xludf.DUMMYFUNCTION("IMPORTRANGE(""https://docs.google.com/spreadsheets/d/1muirlRDkqiswvy_NRZ3Yh955hx-PF6_HhssUYiSJj8o/edit?usp=sharing"",""กองทุน!K62"")"),1879.56)</f>
        <v>1879.56</v>
      </c>
      <c r="K523" s="200">
        <f t="shared" ca="1" si="116"/>
        <v>1.0100555219926053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IFERROR(__xludf.DUMMYFUNCTION("IMPORTRANGE(""https://docs.google.com/spreadsheets/d/1muirlRDkqiswvy_NRZ3Yh955hx-PF6_HhssUYiSJj8o/edit?usp=sharing"",""กองทุน!H62"")"),7)</f>
        <v>7</v>
      </c>
      <c r="J524" s="199">
        <f ca="1">IFERROR(__xludf.DUMMYFUNCTION("IMPORTRANGE(""https://docs.google.com/spreadsheets/d/1muirlRDkqiswvy_NRZ3Yh955hx-PF6_HhssUYiSJj8o/edit?usp=sharing"",""กองทุน!J62"")"),1)</f>
        <v>1</v>
      </c>
      <c r="K524" s="200">
        <f t="shared" ca="1" si="116"/>
        <v>14.285714285714286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IFERROR(__xludf.DUMMYFUNCTION("IMPORTRANGE(""https://docs.google.com/spreadsheets/d/1muirlRDkqiswvy_NRZ3Yh955hx-PF6_HhssUYiSJj8o/edit?usp=sharing"",""กองทุน!N62"")"),0)</f>
        <v>0</v>
      </c>
      <c r="J525" s="199">
        <f ca="1">IFERROR(__xludf.DUMMYFUNCTION("IMPORTRANGE(""https://docs.google.com/spreadsheets/d/1muirlRDkqiswvy_NRZ3Yh955hx-PF6_HhssUYiSJj8o/edit?usp=sharing"",""กองทุน!P62"")"),0)</f>
        <v>0</v>
      </c>
      <c r="K525" s="200">
        <f t="shared" ca="1" si="116"/>
        <v>0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IFERROR(__xludf.DUMMYFUNCTION("IMPORTRANGE(""https://docs.google.com/spreadsheets/d/1muirlRDkqiswvy_NRZ3Yh955hx-PF6_HhssUYiSJj8o/edit?usp=sharing"",""กองทุน!M62"")"),0)</f>
        <v>0</v>
      </c>
      <c r="J526" s="199">
        <f ca="1">IFERROR(__xludf.DUMMYFUNCTION("IMPORTRANGE(""https://docs.google.com/spreadsheets/d/1muirlRDkqiswvy_NRZ3Yh955hx-PF6_HhssUYiSJj8o/edit?usp=sharing"",""กองทุน!O62"")"),0)</f>
        <v>0</v>
      </c>
      <c r="K526" s="200">
        <f t="shared" ca="1" si="116"/>
        <v>0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IFERROR(__xludf.DUMMYFUNCTION("IMPORTRANGE(""https://docs.google.com/spreadsheets/d/1muirlRDkqiswvy_NRZ3Yh955hx-PF6_HhssUYiSJj8o/edit?usp=sharing"",""กองทุน!S62"")"),5530000)</f>
        <v>5530000</v>
      </c>
      <c r="J527" s="199">
        <f ca="1">IFERROR(__xludf.DUMMYFUNCTION("IMPORTRANGE(""https://docs.google.com/spreadsheets/d/1muirlRDkqiswvy_NRZ3Yh955hx-PF6_HhssUYiSJj8o/edit?usp=sharing"",""กองทุน!U62"")"),0)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IFERROR(__xludf.DUMMYFUNCTION("IMPORTRANGE(""https://docs.google.com/spreadsheets/d/1muirlRDkqiswvy_NRZ3Yh955hx-PF6_HhssUYiSJj8o/edit?usp=sharing"",""กองทุน!R62"")"),115)</f>
        <v>115</v>
      </c>
      <c r="J528" s="324">
        <f ca="1">IFERROR(__xludf.DUMMYFUNCTION("IMPORTRANGE(""https://docs.google.com/spreadsheets/d/1muirlRDkqiswvy_NRZ3Yh955hx-PF6_HhssUYiSJj8o/edit?usp=sharing"",""กองทุน!T62"")"),0)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A5" sqref="A5:G5"/>
      <selection pane="bottomLeft" activeCell="A5" sqref="A5:G5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68" t="s">
        <v>0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</row>
    <row r="2" spans="1:14" ht="18" customHeight="1" x14ac:dyDescent="0.55000000000000004">
      <c r="A2" s="368" t="s">
        <v>226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</row>
    <row r="3" spans="1:14" ht="18" customHeight="1" x14ac:dyDescent="0.55000000000000004">
      <c r="A3" s="368" t="s">
        <v>247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70" t="s">
        <v>4</v>
      </c>
      <c r="B5" s="371"/>
      <c r="C5" s="371"/>
      <c r="D5" s="371"/>
      <c r="E5" s="371"/>
      <c r="F5" s="371"/>
      <c r="G5" s="372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1482825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453800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30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IFERROR(__xludf.DUMMYFUNCTION("IMPORTRANGE(""https://docs.google.com/spreadsheets/d/1C3CXT74ZlgGe6_JY_1olB1XN4rF0dxEuIIF-xsYjHgg/edit?usp=sharing"",""พรบ!C63"")"),453800)</f>
        <v>453800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47"/>
      <c r="K13" s="48"/>
      <c r="L13" s="52">
        <f ca="1">IFERROR(__xludf.DUMMYFUNCTION("IMPORTRANGE(""https://docs.google.com/spreadsheets/d/1C3CXT74ZlgGe6_JY_1olB1XN4rF0dxEuIIF-xsYjHgg/edit?usp=sharing"",""พรบ!D63"")"),81800)</f>
        <v>81800</v>
      </c>
      <c r="M13" s="53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47"/>
      <c r="K14" s="48"/>
      <c r="L14" s="52">
        <f ca="1">IFERROR(__xludf.DUMMYFUNCTION("IMPORTRANGE(""https://docs.google.com/spreadsheets/d/1C3CXT74ZlgGe6_JY_1olB1XN4rF0dxEuIIF-xsYjHgg/edit?usp=sharing"",""พรบ!E63"")"),372000)</f>
        <v>372000</v>
      </c>
      <c r="M14" s="53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v>0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v>1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7">
        <v>1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7">
        <v>0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1</v>
      </c>
      <c r="J20" s="78">
        <f t="shared" si="5"/>
        <v>0</v>
      </c>
      <c r="K20" s="79">
        <f t="shared" ref="K20:K28" ca="1" si="6">IF(I20&gt;0,J20*100/I20,0)</f>
        <v>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30</v>
      </c>
      <c r="J21" s="78">
        <f t="shared" si="7"/>
        <v>0</v>
      </c>
      <c r="K21" s="79">
        <f t="shared" ca="1" si="6"/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IFERROR(__xludf.DUMMYFUNCTION("IMPORTRANGE(""https://docs.google.com/spreadsheets/d/1C3CXT74ZlgGe6_JY_1olB1XN4rF0dxEuIIF-xsYjHgg/edit?usp=sharing"",""พรบ!H63"")"),0)</f>
        <v>0</v>
      </c>
      <c r="J22" s="66">
        <v>0</v>
      </c>
      <c r="K22" s="48">
        <f t="shared" ca="1" si="6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IFERROR(__xludf.DUMMYFUNCTION("IMPORTRANGE(""https://docs.google.com/spreadsheets/d/1C3CXT74ZlgGe6_JY_1olB1XN4rF0dxEuIIF-xsYjHgg/edit?usp=sharing"",""พรบ!I63"")"),0)</f>
        <v>0</v>
      </c>
      <c r="J23" s="66">
        <v>0</v>
      </c>
      <c r="K23" s="48">
        <f t="shared" ca="1" si="6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IFERROR(__xludf.DUMMYFUNCTION("IMPORTRANGE(""https://docs.google.com/spreadsheets/d/1C3CXT74ZlgGe6_JY_1olB1XN4rF0dxEuIIF-xsYjHgg/edit?usp=sharing"",""พรบ!J63"")"),1)</f>
        <v>1</v>
      </c>
      <c r="J24" s="67">
        <v>0</v>
      </c>
      <c r="K24" s="48">
        <f t="shared" ca="1" si="6"/>
        <v>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IFERROR(__xludf.DUMMYFUNCTION("IMPORTRANGE(""https://docs.google.com/spreadsheets/d/1C3CXT74ZlgGe6_JY_1olB1XN4rF0dxEuIIF-xsYjHgg/edit?usp=sharing"",""พรบ!K63"")"),30)</f>
        <v>30</v>
      </c>
      <c r="J25" s="67">
        <v>0</v>
      </c>
      <c r="K25" s="48">
        <f t="shared" ca="1" si="6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IFERROR(__xludf.DUMMYFUNCTION("IMPORTRANGE(""https://docs.google.com/spreadsheets/d/1C3CXT74ZlgGe6_JY_1olB1XN4rF0dxEuIIF-xsYjHgg/edit?usp=sharing"",""พรบ!L63"")"),0)</f>
        <v>0</v>
      </c>
      <c r="J26" s="66">
        <v>0</v>
      </c>
      <c r="K26" s="48">
        <f t="shared" ca="1" si="6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IFERROR(__xludf.DUMMYFUNCTION("IMPORTRANGE(""https://docs.google.com/spreadsheets/d/1C3CXT74ZlgGe6_JY_1olB1XN4rF0dxEuIIF-xsYjHgg/edit?usp=sharing"",""พรบ!M63"")"),0)</f>
        <v>0</v>
      </c>
      <c r="J27" s="66">
        <v>0</v>
      </c>
      <c r="K27" s="48">
        <f t="shared" ca="1" si="6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IFERROR(__xludf.DUMMYFUNCTION("IMPORTRANGE(""https://docs.google.com/spreadsheets/d/1C3CXT74ZlgGe6_JY_1olB1XN4rF0dxEuIIF-xsYjHgg/edit?usp=sharing"",""พรบ!N63"")"),0)</f>
        <v>0</v>
      </c>
      <c r="J28" s="66">
        <v>0</v>
      </c>
      <c r="K28" s="48">
        <f t="shared" ca="1" si="6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7"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IFERROR(__xludf.DUMMYFUNCTION("IMPORTRANGE(""https://docs.google.com/spreadsheets/d/1C3CXT74ZlgGe6_JY_1olB1XN4rF0dxEuIIF-xsYjHgg/edit?usp=sharing"",""พรบ!O63"")"),0)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IFERROR(__xludf.DUMMYFUNCTION("IMPORTRANGE(""https://docs.google.com/spreadsheets/d/1C3CXT74ZlgGe6_JY_1olB1XN4rF0dxEuIIF-xsYjHgg/edit?usp=sharing"",""พรบ!P63"")"),0)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IFERROR(__xludf.DUMMYFUNCTION("IMPORTRANGE(""https://docs.google.com/spreadsheets/d/1C3CXT74ZlgGe6_JY_1olB1XN4rF0dxEuIIF-xsYjHgg/edit?usp=sharing"",""พรบ!Q63"")"),0)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IFERROR(__xludf.DUMMYFUNCTION("IMPORTRANGE(""https://docs.google.com/spreadsheets/d/1C3CXT74ZlgGe6_JY_1olB1XN4rF0dxEuIIF-xsYjHgg/edit?usp=sharing"",""พรบ!R63"")"),0)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IFERROR(__xludf.DUMMYFUNCTION("IMPORTRANGE(""https://docs.google.com/spreadsheets/d/1C3CXT74ZlgGe6_JY_1olB1XN4rF0dxEuIIF-xsYjHgg/edit?usp=sharing"",""พรบ!S63"")"),0)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IFERROR(__xludf.DUMMYFUNCTION("IMPORTRANGE(""https://docs.google.com/spreadsheets/d/1C3CXT74ZlgGe6_JY_1olB1XN4rF0dxEuIIF-xsYjHgg/edit?usp=sharing"",""พรบ!T63"")"),0)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IFERROR(__xludf.DUMMYFUNCTION("IMPORTRANGE(""https://docs.google.com/spreadsheets/d/1C3CXT74ZlgGe6_JY_1olB1XN4rF0dxEuIIF-xsYjHgg/edit?usp=sharing"",""พรบ!U63"")"),0)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IFERROR(__xludf.DUMMYFUNCTION("IMPORTRANGE(""https://docs.google.com/spreadsheets/d/1C3CXT74ZlgGe6_JY_1olB1XN4rF0dxEuIIF-xsYjHgg/edit?usp=sharing"",""พรบ!V63"")"),0)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IFERROR(__xludf.DUMMYFUNCTION("IMPORTRANGE(""https://docs.google.com/spreadsheets/d/1C3CXT74ZlgGe6_JY_1olB1XN4rF0dxEuIIF-xsYjHgg/edit?usp=sharing"",""พรบ!W63"")"),0)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6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IFERROR(__xludf.DUMMYFUNCTION("IMPORTRANGE(""https://docs.google.com/spreadsheets/d/1C3CXT74ZlgGe6_JY_1olB1XN4rF0dxEuIIF-xsYjHgg/edit?usp=sharing"",""พรบ!Y63"")"),0)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IFERROR(__xludf.DUMMYFUNCTION("IMPORTRANGE(""https://docs.google.com/spreadsheets/d/1C3CXT74ZlgGe6_JY_1olB1XN4rF0dxEuIIF-xsYjHgg/edit?usp=sharing"",""พรบ!Z63"")"),0)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246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IFERROR(__xludf.DUMMYFUNCTION("IMPORTRANGE(""https://docs.google.com/spreadsheets/d/1C3CXT74ZlgGe6_JY_1olB1XN4rF0dxEuIIF-xsYjHgg/edit?usp=sharing"",""พรบ!AA63"")"),0)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7">
        <v>0</v>
      </c>
      <c r="K65" s="358"/>
      <c r="L65" s="359"/>
      <c r="M65" s="359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15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264400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264400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IFERROR(__xludf.DUMMYFUNCTION("IMPORTRANGE(""https://docs.google.com/spreadsheets/d/1C3CXT74ZlgGe6_JY_1olB1XN4rF0dxEuIIF-xsYjHgg/edit?usp=sharing"",""พรบ!AD63"")"),219800)</f>
        <v>219800</v>
      </c>
      <c r="M72" s="53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44600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IFERROR(__xludf.DUMMYFUNCTION("IMPORTRANGE(""https://docs.google.com/spreadsheets/d/1C3CXT74ZlgGe6_JY_1olB1XN4rF0dxEuIIF-xsYjHgg/edit?usp=sharing"",""พรบ!AF63"")"),7500)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1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IFERROR(__xludf.DUMMYFUNCTION("IMPORTRANGE(""https://docs.google.com/spreadsheets/d/1C3CXT74ZlgGe6_JY_1olB1XN4rF0dxEuIIF-xsYjHgg/edit?usp=sharing"",""พรบ!AG63"")"),4)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1</v>
      </c>
      <c r="J89" s="149">
        <f t="shared" si="21"/>
        <v>0</v>
      </c>
      <c r="K89" s="150">
        <f ca="1">IF(I89&gt;0,J89*100/I89,0)</f>
        <v>0</v>
      </c>
      <c r="L89" s="147">
        <f ca="1">L90+L91</f>
        <v>14000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14000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IFERROR(__xludf.DUMMYFUNCTION("IMPORTRANGE(""https://docs.google.com/spreadsheets/d/1C3CXT74ZlgGe6_JY_1olB1XN4rF0dxEuIIF-xsYjHgg/edit?usp=sharing"",""พรบ!AH63"")"),14000)</f>
        <v>14000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1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IFERROR(__xludf.DUMMYFUNCTION("IMPORTRANGE(""https://docs.google.com/spreadsheets/d/1C3CXT74ZlgGe6_JY_1olB1XN4rF0dxEuIIF-xsYjHgg/edit?usp=sharing"",""พรบ!AI63"")"),1)</f>
        <v>1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IFERROR(__xludf.DUMMYFUNCTION("IMPORTRANGE(""https://docs.google.com/spreadsheets/d/1C3CXT74ZlgGe6_JY_1olB1XN4rF0dxEuIIF-xsYjHgg/edit?usp=sharing"",""กปร!C63"")"),12000)</f>
        <v>12000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IFERROR(__xludf.DUMMYFUNCTION("IMPORTRANGE(""https://docs.google.com/spreadsheets/d/1C3CXT74ZlgGe6_JY_1olB1XN4rF0dxEuIIF-xsYjHgg/edit?usp=sharing"",""พรบ!AJ63"")"),0)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IFERROR(__xludf.DUMMYFUNCTION("IMPORTRANGE(""https://docs.google.com/spreadsheets/d/1C3CXT74ZlgGe6_JY_1olB1XN4rF0dxEuIIF-xsYjHgg/edit?usp=sharing"",""พรบ!AK63"")"),0)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IFERROR(__xludf.DUMMYFUNCTION("IMPORTRANGE(""https://docs.google.com/spreadsheets/d/1C3CXT74ZlgGe6_JY_1olB1XN4rF0dxEuIIF-xsYjHgg/edit?usp=sharing"",""กปร!D63"")"),0)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IFERROR(__xludf.DUMMYFUNCTION("IMPORTRANGE(""https://docs.google.com/spreadsheets/d/1C3CXT74ZlgGe6_JY_1olB1XN4rF0dxEuIIF-xsYjHgg/edit?usp=sharing"",""พรบ!AL63"")"),0)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IFERROR(__xludf.DUMMYFUNCTION("IMPORTRANGE(""https://docs.google.com/spreadsheets/d/1C3CXT74ZlgGe6_JY_1olB1XN4rF0dxEuIIF-xsYjHgg/edit?usp=sharing"",""กปร!E63"")"),0)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6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12800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23100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23100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IFERROR(__xludf.DUMMYFUNCTION("IMPORTRANGE(""https://docs.google.com/spreadsheets/d/1C3CXT74ZlgGe6_JY_1olB1XN4rF0dxEuIIF-xsYjHgg/edit?usp=sharing"",""พรบ!AM63"")"),23100)</f>
        <v>23100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1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1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IFERROR(__xludf.DUMMYFUNCTION("IMPORTRANGE(""https://docs.google.com/spreadsheets/d/1C3CXT74ZlgGe6_JY_1olB1XN4rF0dxEuIIF-xsYjHgg/edit?usp=sharing"",""พรบ!AO63"")"),12800)</f>
        <v>12800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IFERROR(__xludf.DUMMYFUNCTION("IMPORTRANGE(""https://docs.google.com/spreadsheets/d/1C3CXT74ZlgGe6_JY_1olB1XN4rF0dxEuIIF-xsYjHgg/edit?usp=sharing"",""พรบ!AP63"")"),12800)</f>
        <v>12800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IFERROR(__xludf.DUMMYFUNCTION("IMPORTRANGE(""https://docs.google.com/spreadsheets/d/1C3CXT74ZlgGe6_JY_1olB1XN4rF0dxEuIIF-xsYjHgg/edit?usp=sharing"",""กปร!F63"")"),4100)</f>
        <v>4100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IFERROR(__xludf.DUMMYFUNCTION("IMPORTRANGE(""https://docs.google.com/spreadsheets/d/1C3CXT74ZlgGe6_JY_1olB1XN4rF0dxEuIIF-xsYjHgg/edit?usp=sharing"",""พรบ!AQ63"")"),15)</f>
        <v>15</v>
      </c>
      <c r="J126" s="67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IFERROR(__xludf.DUMMYFUNCTION("IMPORTRANGE(""https://docs.google.com/spreadsheets/d/1C3CXT74ZlgGe6_JY_1olB1XN4rF0dxEuIIF-xsYjHgg/edit?usp=sharing"",""กปร!G63"")"),15000)</f>
        <v>15000</v>
      </c>
      <c r="M126" s="361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IFERROR(__xludf.DUMMYFUNCTION("IMPORTRANGE(""https://docs.google.com/spreadsheets/d/1C3CXT74ZlgGe6_JY_1olB1XN4rF0dxEuIIF-xsYjHgg/edit?usp=sharing"",""พรบ!AR63"")"),0)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IFERROR(__xludf.DUMMYFUNCTION("IMPORTRANGE(""https://docs.google.com/spreadsheets/d/1C3CXT74ZlgGe6_JY_1olB1XN4rF0dxEuIIF-xsYjHgg/edit?usp=sharing"",""พรบ!AS63"")"),0)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IFERROR(__xludf.DUMMYFUNCTION("IMPORTRANGE(""https://docs.google.com/spreadsheets/d/1C3CXT74ZlgGe6_JY_1olB1XN4rF0dxEuIIF-xsYjHgg/edit?usp=sharing"",""กปร!H63"")"),0)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IFERROR(__xludf.DUMMYFUNCTION("IMPORTRANGE(""https://docs.google.com/spreadsheets/d/1C3CXT74ZlgGe6_JY_1olB1XN4rF0dxEuIIF-xsYjHgg/edit?usp=sharing"",""พรบ!AT63"")"),0)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IFERROR(__xludf.DUMMYFUNCTION("IMPORTRANGE(""https://docs.google.com/spreadsheets/d/1C3CXT74ZlgGe6_JY_1olB1XN4rF0dxEuIIF-xsYjHgg/edit?usp=sharing"",""กปร!I63"")"),0)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IFERROR(__xludf.DUMMYFUNCTION("IMPORTRANGE(""https://docs.google.com/spreadsheets/d/1C3CXT74ZlgGe6_JY_1olB1XN4rF0dxEuIIF-xsYjHgg/edit?usp=sharing"",""พรบ!AU63"")"),0)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IFERROR(__xludf.DUMMYFUNCTION("IMPORTRANGE(""https://docs.google.com/spreadsheets/d/1C3CXT74ZlgGe6_JY_1olB1XN4rF0dxEuIIF-xsYjHgg/edit?usp=sharing"",""กปร!J63"")"),0)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7">
        <v>0</v>
      </c>
      <c r="K143" s="358"/>
      <c r="L143" s="359"/>
      <c r="M143" s="359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13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19295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19295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IFERROR(__xludf.DUMMYFUNCTION("IMPORTRANGE(""https://docs.google.com/spreadsheets/d/1C3CXT74ZlgGe6_JY_1olB1XN4rF0dxEuIIF-xsYjHgg/edit?usp=sharing"",""พรบ!AY63"")"),19295)</f>
        <v>19295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13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1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IFERROR(__xludf.DUMMYFUNCTION("IMPORTRANGE(""https://docs.google.com/spreadsheets/d/1C3CXT74ZlgGe6_JY_1olB1XN4rF0dxEuIIF-xsYjHgg/edit?usp=sharing"",""พรบ!BA63"")"),13)</f>
        <v>13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20</v>
      </c>
      <c r="J169" s="177">
        <f>+J180</f>
        <v>0</v>
      </c>
      <c r="K169" s="178">
        <f ca="1">IF(I169&gt;0,J169*100/I169,0)</f>
        <v>0</v>
      </c>
      <c r="L169" s="179">
        <f ca="1">L170+L171</f>
        <v>71400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71400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47"/>
      <c r="K172" s="48"/>
      <c r="L172" s="52">
        <f ca="1">IFERROR(__xludf.DUMMYFUNCTION("IMPORTRANGE(""https://docs.google.com/spreadsheets/d/1C3CXT74ZlgGe6_JY_1olB1XN4rF0dxEuIIF-xsYjHgg/edit?usp=sharing"",""พรบ!BD63"")"),0)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47"/>
      <c r="K173" s="48"/>
      <c r="L173" s="52">
        <f ca="1">IFERROR(__xludf.DUMMYFUNCTION("IMPORTRANGE(""https://docs.google.com/spreadsheets/d/1C3CXT74ZlgGe6_JY_1olB1XN4rF0dxEuIIF-xsYjHgg/edit?usp=sharing"",""พรบ!BE63"")"),71400)</f>
        <v>71400</v>
      </c>
      <c r="M173" s="53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v>1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v>0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v>0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v>0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IFERROR(__xludf.DUMMYFUNCTION("IMPORTRANGE(""https://docs.google.com/spreadsheets/d/1C3CXT74ZlgGe6_JY_1olB1XN4rF0dxEuIIF-xsYjHgg/edit?usp=sharing"",""พรบ!BF63"")"),1)</f>
        <v>1</v>
      </c>
      <c r="J179" s="67">
        <v>0</v>
      </c>
      <c r="K179" s="48">
        <f t="shared" ref="K179:K182" ca="1" si="41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IFERROR(__xludf.DUMMYFUNCTION("IMPORTRANGE(""https://docs.google.com/spreadsheets/d/1C3CXT74ZlgGe6_JY_1olB1XN4rF0dxEuIIF-xsYjHgg/edit?usp=sharing"",""พรบ!BG63"")"),20)</f>
        <v>20</v>
      </c>
      <c r="J180" s="67">
        <v>0</v>
      </c>
      <c r="K180" s="48">
        <f t="shared" ca="1" si="41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IFERROR(__xludf.DUMMYFUNCTION("IMPORTRANGE(""https://docs.google.com/spreadsheets/d/1C3CXT74ZlgGe6_JY_1olB1XN4rF0dxEuIIF-xsYjHgg/edit?usp=sharing"",""พรบ!BH63"")"),20)</f>
        <v>20</v>
      </c>
      <c r="J181" s="67">
        <v>0</v>
      </c>
      <c r="K181" s="48">
        <f t="shared" ca="1" si="41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IFERROR(__xludf.DUMMYFUNCTION("IMPORTRANGE(""https://docs.google.com/spreadsheets/d/1C3CXT74ZlgGe6_JY_1olB1XN4rF0dxEuIIF-xsYjHgg/edit?usp=sharing"",""พรบ!BI63"")"),1)</f>
        <v>1</v>
      </c>
      <c r="J182" s="67">
        <v>0</v>
      </c>
      <c r="K182" s="48">
        <f t="shared" ca="1" si="41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v>0</v>
      </c>
      <c r="K183" s="48"/>
      <c r="L183" s="60"/>
      <c r="M183" s="60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112">
        <v>0</v>
      </c>
      <c r="K184" s="113"/>
      <c r="L184" s="114"/>
      <c r="M184" s="114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15</v>
      </c>
      <c r="J185" s="177">
        <f>+J195</f>
        <v>0</v>
      </c>
      <c r="K185" s="178">
        <f ca="1">IF(I185&gt;0,J185*100/I185,0)</f>
        <v>0</v>
      </c>
      <c r="L185" s="179">
        <f ca="1">L186+L187</f>
        <v>165200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165200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IFERROR(__xludf.DUMMYFUNCTION("IMPORTRANGE(""https://docs.google.com/spreadsheets/d/1C3CXT74ZlgGe6_JY_1olB1XN4rF0dxEuIIF-xsYjHgg/edit?usp=sharing"",""พรบ!BK63"")"),0)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IFERROR(__xludf.DUMMYFUNCTION("IMPORTRANGE(""https://docs.google.com/spreadsheets/d/1C3CXT74ZlgGe6_JY_1olB1XN4rF0dxEuIIF-xsYjHgg/edit?usp=sharing"",""พรบ!BL63"")"),165200)</f>
        <v>165200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1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0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IFERROR(__xludf.DUMMYFUNCTION("IMPORTRANGE(""https://docs.google.com/spreadsheets/d/1C3CXT74ZlgGe6_JY_1olB1XN4rF0dxEuIIF-xsYjHgg/edit?usp=sharing"",""พรบ!BM63"")"),15)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66" t="s">
        <v>21</v>
      </c>
      <c r="J200" s="66"/>
      <c r="K200" s="232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66"/>
      <c r="J201" s="66"/>
      <c r="K201" s="232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66"/>
      <c r="J202" s="66"/>
      <c r="K202" s="232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66"/>
      <c r="J203" s="66"/>
      <c r="K203" s="232"/>
      <c r="L203" s="52">
        <f ca="1">IFERROR(__xludf.DUMMYFUNCTION("IMPORTRANGE(""https://docs.google.com/spreadsheets/d/1C3CXT74ZlgGe6_JY_1olB1XN4rF0dxEuIIF-xsYjHgg/edit?usp=sharing"",""พรบ!BP63"")"),0)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66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IFERROR(__xludf.DUMMYFUNCTION("IMPORTRANGE(""https://docs.google.com/spreadsheets/d/1C3CXT74ZlgGe6_JY_1olB1XN4rF0dxEuIIF-xsYjHgg/edit?usp=sharing"",""พรบ!BQ63"")"),0)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IFERROR(__xludf.DUMMYFUNCTION("IMPORTRANGE(""https://docs.google.com/spreadsheets/d/1C3CXT74ZlgGe6_JY_1olB1XN4rF0dxEuIIF-xsYjHgg/edit?usp=sharing"",""พรบ!BR63"")"),0)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IFERROR(__xludf.DUMMYFUNCTION("IMPORTRANGE(""https://docs.google.com/spreadsheets/d/1C3CXT74ZlgGe6_JY_1olB1XN4rF0dxEuIIF-xsYjHgg/edit?usp=sharing"",""พรบ!BU63"")"),0)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IFERROR(__xludf.DUMMYFUNCTION("IMPORTRANGE(""https://docs.google.com/spreadsheets/d/1C3CXT74ZlgGe6_JY_1olB1XN4rF0dxEuIIF-xsYjHgg/edit?usp=sharing"",""พรบ!BV63"")"),0)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27</v>
      </c>
      <c r="J228" s="197">
        <f ca="1">J240</f>
        <v>0</v>
      </c>
      <c r="K228" s="178">
        <f ca="1">IF(I228&gt;0,J228*100/I228,0)</f>
        <v>0</v>
      </c>
      <c r="L228" s="179">
        <f ca="1">L229+L230</f>
        <v>508730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508730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IFERROR(__xludf.DUMMYFUNCTION("IMPORTRANGE(""https://docs.google.com/spreadsheets/d/1C3CXT74ZlgGe6_JY_1olB1XN4rF0dxEuIIF-xsYjHgg/edit?usp=sharing"",""พรบ!BX63"")"),306000)</f>
        <v>306000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IFERROR(__xludf.DUMMYFUNCTION("IMPORTRANGE(""https://docs.google.com/spreadsheets/d/1C3CXT74ZlgGe6_JY_1olB1XN4rF0dxEuIIF-xsYjHgg/edit?usp=sharing"",""พรบ!BY63"")"),202730)</f>
        <v>202730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IFERROR(__xludf.DUMMYFUNCTION("IMPORTRANGE(""https://docs.google.com/spreadsheets/d/1AGHcLOeeYFL3K4b9R1dSzyJy00PE_ra89DNTVfnxSWM/edit?usp=sharing"",""รวมที่ทำกิน!J52"")"),0)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IFERROR(__xludf.DUMMYFUNCTION("IMPORTRANGE(""https://docs.google.com/spreadsheets/d/1C3CXT74ZlgGe6_JY_1olB1XN4rF0dxEuIIF-xsYjHgg/edit?usp=sharing"",""พรบ!BZ63"")"),144)</f>
        <v>144</v>
      </c>
      <c r="J235" s="66">
        <f ca="1">IFERROR(__xludf.DUMMYFUNCTION("IMPORTRANGE(""https://docs.google.com/spreadsheets/d/1AGHcLOeeYFL3K4b9R1dSzyJy00PE_ra89DNTVfnxSWM/edit?usp=sharing"",""รวมที่ทำกิน!L52"")"),0)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IFERROR(__xludf.DUMMYFUNCTION("IMPORTRANGE(""https://docs.google.com/spreadsheets/d/1C3CXT74ZlgGe6_JY_1olB1XN4rF0dxEuIIF-xsYjHgg/edit?usp=sharing"",""พรบ!CA63"")"),27)</f>
        <v>27</v>
      </c>
      <c r="J236" s="66">
        <f ca="1">IFERROR(__xludf.DUMMYFUNCTION("IMPORTRANGE(""https://docs.google.com/spreadsheets/d/1AGHcLOeeYFL3K4b9R1dSzyJy00PE_ra89DNTVfnxSWM/edit?usp=sharing"",""รวมที่ทำกิน!O52"")"),0)</f>
        <v>0</v>
      </c>
      <c r="K236" s="200">
        <f t="shared" ca="1" si="52"/>
        <v>0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IFERROR(__xludf.DUMMYFUNCTION("IMPORTRANGE(""https://docs.google.com/spreadsheets/d/1AGHcLOeeYFL3K4b9R1dSzyJy00PE_ra89DNTVfnxSWM/edit?usp=sharing"",""รวมที่ทำกิน!Q52"")"),0)</f>
        <v>0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IFERROR(__xludf.DUMMYFUNCTION("IMPORTRANGE(""https://docs.google.com/spreadsheets/d/1C3CXT74ZlgGe6_JY_1olB1XN4rF0dxEuIIF-xsYjHgg/edit?usp=sharing"",""พรบ!CB63"")"),27)</f>
        <v>27</v>
      </c>
      <c r="J238" s="66">
        <f ca="1">IFERROR(__xludf.DUMMYFUNCTION("IMPORTRANGE(""https://docs.google.com/spreadsheets/d/1AGHcLOeeYFL3K4b9R1dSzyJy00PE_ra89DNTVfnxSWM/edit?usp=sharing"",""รวมที่ทำกิน!S52"")"),0)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IFERROR(__xludf.DUMMYFUNCTION("IMPORTRANGE(""https://docs.google.com/spreadsheets/d/1AGHcLOeeYFL3K4b9R1dSzyJy00PE_ra89DNTVfnxSWM/edit?usp=sharing"",""รวมที่ทำกิน!U52"")"),0)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IFERROR(__xludf.DUMMYFUNCTION("IMPORTRANGE(""https://docs.google.com/spreadsheets/d/1C3CXT74ZlgGe6_JY_1olB1XN4rF0dxEuIIF-xsYjHgg/edit?usp=sharing"",""พรบ!CC63"")"),27)</f>
        <v>27</v>
      </c>
      <c r="J240" s="66">
        <f ca="1">IFERROR(__xludf.DUMMYFUNCTION("IMPORTRANGE(""https://docs.google.com/spreadsheets/d/1AGHcLOeeYFL3K4b9R1dSzyJy00PE_ra89DNTVfnxSWM/edit?usp=sharing"",""รวมที่ทำกิน!W52"")"),0)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IFERROR(__xludf.DUMMYFUNCTION("IMPORTRANGE(""https://docs.google.com/spreadsheets/d/1AGHcLOeeYFL3K4b9R1dSzyJy00PE_ra89DNTVfnxSWM/edit?usp=sharing"",""รวมที่ทำกิน!Y52"")"),0)</f>
        <v>0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828674</v>
      </c>
      <c r="M242" s="213">
        <f t="shared" si="53"/>
        <v>0</v>
      </c>
      <c r="N242" s="213">
        <f ca="1">+IF(L242&gt;0,M242*100/L242,0)</f>
        <v>0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10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49720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10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49720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IFERROR(__xludf.DUMMYFUNCTION("IMPORTRANGE(""https://docs.google.com/spreadsheets/d/1C3CXT74ZlgGe6_JY_1olB1XN4rF0dxEuIIF-xsYjHgg/edit?usp=sharing"",""งบกองทุน!d63"")"),0)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IFERROR(__xludf.DUMMYFUNCTION("IMPORTRANGE(""https://docs.google.com/spreadsheets/d/1C3CXT74ZlgGe6_JY_1olB1XN4rF0dxEuIIF-xsYjHgg/edit?usp=sharing"",""งบกองทุน!e63"")"),49720)</f>
        <v>49720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1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1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IFERROR(__xludf.DUMMYFUNCTION("IMPORTRANGE(""https://docs.google.com/spreadsheets/d/1C3CXT74ZlgGe6_JY_1olB1XN4rF0dxEuIIF-xsYjHgg/edit?usp=sharing"",""งบกองทุน!f63"")"),0)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10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IFERROR(__xludf.DUMMYFUNCTION("IMPORTRANGE(""https://docs.google.com/spreadsheets/d/1C3CXT74ZlgGe6_JY_1olB1XN4rF0dxEuIIF-xsYjHgg/edit?usp=sharing"",""งบกองทุน!H63"")"),10)</f>
        <v>10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IFERROR(__xludf.DUMMYFUNCTION("IMPORTRANGE(""https://docs.google.com/spreadsheets/d/1C3CXT74ZlgGe6_JY_1olB1XN4rF0dxEuIIF-xsYjHgg/edit?usp=sharing"",""งบกองทุน!i63"")"),0)</f>
        <v>0</v>
      </c>
      <c r="J264" s="66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10</v>
      </c>
      <c r="J265" s="66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IFERROR(__xludf.DUMMYFUNCTION("IMPORTRANGE(""https://docs.google.com/spreadsheets/d/1C3CXT74ZlgGe6_JY_1olB1XN4rF0dxEuIIF-xsYjHgg/edit?usp=sharing"",""งบกองทุน!k63"")"),10)</f>
        <v>10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10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IFERROR(__xludf.DUMMYFUNCTION("IMPORTRANGE(""https://docs.google.com/spreadsheets/d/1C3CXT74ZlgGe6_JY_1olB1XN4rF0dxEuIIF-xsYjHgg/edit?usp=sharing"",""งบกองทุน!m63"")"),0)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10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IFERROR(__xludf.DUMMYFUNCTION("IMPORTRANGE(""https://docs.google.com/spreadsheets/d/1C3CXT74ZlgGe6_JY_1olB1XN4rF0dxEuIIF-xsYjHgg/edit?usp=sharing"",""งบกองทุน!o63"")"),10)</f>
        <v>10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IFERROR(__xludf.DUMMYFUNCTION("IMPORTRANGE(""https://docs.google.com/spreadsheets/d/1C3CXT74ZlgGe6_JY_1olB1XN4rF0dxEuIIF-xsYjHgg/edit?usp=sharing"",""งบกองทุน!p63"")"),0)</f>
        <v>0</v>
      </c>
      <c r="J272" s="66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200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207560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20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207560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IFERROR(__xludf.DUMMYFUNCTION("IMPORTRANGE(""https://docs.google.com/spreadsheets/d/1C3CXT74ZlgGe6_JY_1olB1XN4rF0dxEuIIF-xsYjHgg/edit?usp=sharing"",""งบกองทุน!r63"")"),0)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IFERROR(__xludf.DUMMYFUNCTION("IMPORTRANGE(""https://docs.google.com/spreadsheets/d/1C3CXT74ZlgGe6_JY_1olB1XN4rF0dxEuIIF-xsYjHgg/edit?usp=sharing"",""งบกองทุน!s63"")"),207560)</f>
        <v>207560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1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IFERROR(__xludf.DUMMYFUNCTION("IMPORTRANGE(""https://docs.google.com/spreadsheets/d/1C3CXT74ZlgGe6_JY_1olB1XN4rF0dxEuIIF-xsYjHgg/edit?usp=sharing"",""งบกองทุน!v63"")"),20)</f>
        <v>20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IFERROR(__xludf.DUMMYFUNCTION("IMPORTRANGE(""https://docs.google.com/spreadsheets/d/1C3CXT74ZlgGe6_JY_1olB1XN4rF0dxEuIIF-xsYjHgg/edit?usp=sharing"",""งบกองทุน!w63"")"),200)</f>
        <v>200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IFERROR(__xludf.DUMMYFUNCTION("IMPORTRANGE(""https://docs.google.com/spreadsheets/d/1C3CXT74ZlgGe6_JY_1olB1XN4rF0dxEuIIF-xsYjHgg/edit?usp=sharing"",""งบกองทุน!x63"")"),20)</f>
        <v>20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195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226530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65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226530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IFERROR(__xludf.DUMMYFUNCTION("IMPORTRANGE(""https://docs.google.com/spreadsheets/d/1C3CXT74ZlgGe6_JY_1olB1XN4rF0dxEuIIF-xsYjHgg/edit?usp=sharing"",""งบกองทุน!z63"")"),0)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IFERROR(__xludf.DUMMYFUNCTION("IMPORTRANGE(""https://docs.google.com/spreadsheets/d/1C3CXT74ZlgGe6_JY_1olB1XN4rF0dxEuIIF-xsYjHgg/edit?usp=sharing"",""งบกองทุน!aa63"")"),226530)</f>
        <v>226530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1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65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IFERROR(__xludf.DUMMYFUNCTION("IMPORTRANGE(""https://docs.google.com/spreadsheets/d/1C3CXT74ZlgGe6_JY_1olB1XN4rF0dxEuIIF-xsYjHgg/edit?usp=sharing"",""งบกองทุน!ae63"")"),30)</f>
        <v>30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IFERROR(__xludf.DUMMYFUNCTION("IMPORTRANGE(""https://docs.google.com/spreadsheets/d/1C3CXT74ZlgGe6_JY_1olB1XN4rF0dxEuIIF-xsYjHgg/edit?usp=sharing"",""งบกองทุน!ad63"")"),90)</f>
        <v>90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IFERROR(__xludf.DUMMYFUNCTION("IMPORTRANGE(""https://docs.google.com/spreadsheets/d/1C3CXT74ZlgGe6_JY_1olB1XN4rF0dxEuIIF-xsYjHgg/edit?usp=sharing"",""งบกองทุน!af63"")"),30)</f>
        <v>30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IFERROR(__xludf.DUMMYFUNCTION("IMPORTRANGE(""https://docs.google.com/spreadsheets/d/1C3CXT74ZlgGe6_JY_1olB1XN4rF0dxEuIIF-xsYjHgg/edit?usp=sharing"",""งบกองทุน!ag63"")"),30)</f>
        <v>30</v>
      </c>
      <c r="J315" s="247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IFERROR(__xludf.DUMMYFUNCTION("IMPORTRANGE(""https://docs.google.com/spreadsheets/d/1C3CXT74ZlgGe6_JY_1olB1XN4rF0dxEuIIF-xsYjHgg/edit?usp=sharing"",""งบกองทุน!ai63"")"),25)</f>
        <v>25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IFERROR(__xludf.DUMMYFUNCTION("IMPORTRANGE(""https://docs.google.com/spreadsheets/d/1C3CXT74ZlgGe6_JY_1olB1XN4rF0dxEuIIF-xsYjHgg/edit?usp=sharing"",""งบกองทุน!ah63"")"),75)</f>
        <v>75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IFERROR(__xludf.DUMMYFUNCTION("IMPORTRANGE(""https://docs.google.com/spreadsheets/d/1C3CXT74ZlgGe6_JY_1olB1XN4rF0dxEuIIF-xsYjHgg/edit?usp=sharing"",""งบกองทุน!aj63"")"),25)</f>
        <v>25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IFERROR(__xludf.DUMMYFUNCTION("IMPORTRANGE(""https://docs.google.com/spreadsheets/d/1C3CXT74ZlgGe6_JY_1olB1XN4rF0dxEuIIF-xsYjHgg/edit?usp=sharing"",""งบกองทุน!ak63"")"),25)</f>
        <v>25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IFERROR(__xludf.DUMMYFUNCTION("IMPORTRANGE(""https://docs.google.com/spreadsheets/d/1C3CXT74ZlgGe6_JY_1olB1XN4rF0dxEuIIF-xsYjHgg/edit?usp=sharing"",""งบกองทุน!al63"")"),25)</f>
        <v>25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IFERROR(__xludf.DUMMYFUNCTION("IMPORTRANGE(""https://docs.google.com/spreadsheets/d/1C3CXT74ZlgGe6_JY_1olB1XN4rF0dxEuIIF-xsYjHgg/edit?usp=sharing"",""งบกองทุน!an63"")"),10)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IFERROR(__xludf.DUMMYFUNCTION("IMPORTRANGE(""https://docs.google.com/spreadsheets/d/1C3CXT74ZlgGe6_JY_1olB1XN4rF0dxEuIIF-xsYjHgg/edit?usp=sharing"",""งบกองทุน!am63"")"),30)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IFERROR(__xludf.DUMMYFUNCTION("IMPORTRANGE(""https://docs.google.com/spreadsheets/d/1C3CXT74ZlgGe6_JY_1olB1XN4rF0dxEuIIF-xsYjHgg/edit?usp=sharing"",""งบกองทุน!ao63"")"),10)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IFERROR(__xludf.DUMMYFUNCTION("IMPORTRANGE(""https://docs.google.com/spreadsheets/d/1C3CXT74ZlgGe6_JY_1olB1XN4rF0dxEuIIF-xsYjHgg/edit?usp=sharing"",""งบกองทุน!ap63"")"),10)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55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IFERROR(__xludf.DUMMYFUNCTION("IMPORTRANGE(""https://docs.google.com/spreadsheets/d/1C3CXT74ZlgGe6_JY_1olB1XN4rF0dxEuIIF-xsYjHgg/edit?usp=sharing"",""งบกองทุน!ar63"")"),30)</f>
        <v>30</v>
      </c>
      <c r="J326" s="67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IFERROR(__xludf.DUMMYFUNCTION("IMPORTRANGE(""https://docs.google.com/spreadsheets/d/1C3CXT74ZlgGe6_JY_1olB1XN4rF0dxEuIIF-xsYjHgg/edit?usp=sharing"",""งบกองทุน!as63"")"),25)</f>
        <v>25</v>
      </c>
      <c r="J327" s="67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15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83000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83000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IFERROR(__xludf.DUMMYFUNCTION("IMPORTRANGE(""https://docs.google.com/spreadsheets/d/1C3CXT74ZlgGe6_JY_1olB1XN4rF0dxEuIIF-xsYjHgg/edit?usp=sharing"",""งบกองทุน!au63"")"),0)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IFERROR(__xludf.DUMMYFUNCTION("IMPORTRANGE(""https://docs.google.com/spreadsheets/d/1C3CXT74ZlgGe6_JY_1olB1XN4rF0dxEuIIF-xsYjHgg/edit?usp=sharing"",""งบกองทุน!av63"")"),83000)</f>
        <v>83000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1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15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IFERROR(__xludf.DUMMYFUNCTION("IMPORTRANGE(""https://docs.google.com/spreadsheets/d/1C3CXT74ZlgGe6_JY_1olB1XN4rF0dxEuIIF-xsYjHgg/edit?usp=sharing"",""งบกองทุน!ay63"")"),15)</f>
        <v>15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IFERROR(__xludf.DUMMYFUNCTION("IMPORTRANGE(""https://docs.google.com/spreadsheets/d/1C3CXT74ZlgGe6_JY_1olB1XN4rF0dxEuIIF-xsYjHgg/edit?usp=sharing"",""งบกองทุน!az63"")"),0)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IFERROR(__xludf.DUMMYFUNCTION("IMPORTRANGE(""https://docs.google.com/spreadsheets/d/1C3CXT74ZlgGe6_JY_1olB1XN4rF0dxEuIIF-xsYjHgg/edit?usp=sharing"",""งบกองทุน!Ba63"")"),0)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5880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98174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98174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IFERROR(__xludf.DUMMYFUNCTION("IMPORTRANGE(""https://docs.google.com/spreadsheets/d/1C3CXT74ZlgGe6_JY_1olB1XN4rF0dxEuIIF-xsYjHgg/edit?usp=sharing"",""งบกองทุน!Bc63"")"),0)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IFERROR(__xludf.DUMMYFUNCTION("IMPORTRANGE(""https://docs.google.com/spreadsheets/d/1C3CXT74ZlgGe6_JY_1olB1XN4rF0dxEuIIF-xsYjHgg/edit?usp=sharing"",""งบกองทุน!Bd63"")"),98174)</f>
        <v>98174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IFERROR(__xludf.DUMMYFUNCTION("IMPORTRANGE(""https://docs.google.com/spreadsheets/d/1C3CXT74ZlgGe6_JY_1olB1XN4rF0dxEuIIF-xsYjHgg/edit?usp=sharing"",""งบกองทุน!BE63"")"),5880)</f>
        <v>5880</v>
      </c>
      <c r="J359" s="136">
        <f>+J376</f>
        <v>0</v>
      </c>
      <c r="K359" s="137">
        <f t="shared" ref="K359:K408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IFERROR(__xludf.DUMMYFUNCTION("IMPORTRANGE(""https://docs.google.com/spreadsheets/d/1C3CXT74ZlgGe6_JY_1olB1XN4rF0dxEuIIF-xsYjHgg/edit?usp=sharing"",""งบกองทุน!BE63"")"),5880)</f>
        <v>5880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IFERROR(__xludf.DUMMYFUNCTION("IMPORTRANGE(""https://docs.google.com/spreadsheets/d/1C3CXT74ZlgGe6_JY_1olB1XN4rF0dxEuIIF-xsYjHgg/edit?usp=sharing"",""งบกองทุน!Bf63"")"),321)</f>
        <v>321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5880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265">
        <f ca="1">I361</f>
        <v>321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5880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265">
        <f ca="1">I361</f>
        <v>321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IFERROR(__xludf.DUMMYFUNCTION("IMPORTRANGE(""https://docs.google.com/spreadsheets/d/1C3CXT74ZlgGe6_JY_1olB1XN4rF0dxEuIIF-xsYjHgg/edit?usp=sharing"",""งบกองทุน!cd63"")"),116)</f>
        <v>116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IFERROR(__xludf.DUMMYFUNCTION("IMPORTRANGE(""https://docs.google.com/spreadsheets/d/1C3CXT74ZlgGe6_JY_1olB1XN4rF0dxEuIIF-xsYjHgg/edit?usp=sharing"",""งบกองทุน!cd63"")"),116)</f>
        <v>116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IFERROR(__xludf.DUMMYFUNCTION("IMPORTRANGE(""https://docs.google.com/spreadsheets/d/1C3CXT74ZlgGe6_JY_1olB1XN4rF0dxEuIIF-xsYjHgg/edit?usp=sharing"",""งบกองทุน!cc63"")"),6)</f>
        <v>6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IFERROR(__xludf.DUMMYFUNCTION("IMPORTRANGE(""https://docs.google.com/spreadsheets/d/1C3CXT74ZlgGe6_JY_1olB1XN4rF0dxEuIIF-xsYjHgg/edit?usp=sharing"",""งบกองทุน!cz63"")"),0)</f>
        <v>0</v>
      </c>
      <c r="J409" s="136">
        <v>0</v>
      </c>
      <c r="K409" s="137"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IFERROR(__xludf.DUMMYFUNCTION("IMPORTRANGE(""https://docs.google.com/spreadsheets/d/1C3CXT74ZlgGe6_JY_1olB1XN4rF0dxEuIIF-xsYjHgg/edit?usp=sharing"",""งบกองทุน!cz63"")"),0)</f>
        <v>0</v>
      </c>
      <c r="J410" s="149">
        <v>0</v>
      </c>
      <c r="K410" s="146"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IFERROR(__xludf.DUMMYFUNCTION("IMPORTRANGE(""https://docs.google.com/spreadsheets/d/1C3CXT74ZlgGe6_JY_1olB1XN4rF0dxEuIIF-xsYjHgg/edit?usp=sharing"",""งบกองทุน!cy63"")"),0)</f>
        <v>0</v>
      </c>
      <c r="J411" s="149">
        <v>0</v>
      </c>
      <c r="K411" s="146"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IFERROR(__xludf.DUMMYFUNCTION("IMPORTRANGE(""https://docs.google.com/spreadsheets/d/1C3CXT74ZlgGe6_JY_1olB1XN4rF0dxEuIIF-xsYjHgg/edit?usp=sharing"",""งบกองทุน!db63"")"),0)</f>
        <v>0</v>
      </c>
      <c r="K412" s="48"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IFERROR(__xludf.DUMMYFUNCTION("IMPORTRANGE(""https://docs.google.com/spreadsheets/d/1C3CXT74ZlgGe6_JY_1olB1XN4rF0dxEuIIF-xsYjHgg/edit?usp=sharing"",""งบกองทุน!da63"")"),0)</f>
        <v>0</v>
      </c>
      <c r="K413" s="48"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IFERROR(__xludf.DUMMYFUNCTION("IMPORTRANGE(""https://docs.google.com/spreadsheets/d/1C3CXT74ZlgGe6_JY_1olB1XN4rF0dxEuIIF-xsYjHgg/edit?usp=sharing"",""งบกองทุน!dd63"")"),0)</f>
        <v>0</v>
      </c>
      <c r="K414" s="48"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IFERROR(__xludf.DUMMYFUNCTION("IMPORTRANGE(""https://docs.google.com/spreadsheets/d/1C3CXT74ZlgGe6_JY_1olB1XN4rF0dxEuIIF-xsYjHgg/edit?usp=sharing"",""งบกองทุน!dc63"")"),0)</f>
        <v>0</v>
      </c>
      <c r="K415" s="48"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IFERROR(__xludf.DUMMYFUNCTION("IMPORTRANGE(""https://docs.google.com/spreadsheets/d/1C3CXT74ZlgGe6_JY_1olB1XN4rF0dxEuIIF-xsYjHgg/edit?usp=sharing"",""งบกองทุน!df63"")"),0)</f>
        <v>0</v>
      </c>
      <c r="K416" s="48"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IFERROR(__xludf.DUMMYFUNCTION("IMPORTRANGE(""https://docs.google.com/spreadsheets/d/1C3CXT74ZlgGe6_JY_1olB1XN4rF0dxEuIIF-xsYjHgg/edit?usp=sharing"",""งบกองทุน!de63"")"),0)</f>
        <v>0</v>
      </c>
      <c r="K417" s="48"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4">
        <v>0</v>
      </c>
      <c r="J425" s="300">
        <v>0</v>
      </c>
      <c r="K425" s="301"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22</v>
      </c>
      <c r="J426" s="257">
        <f t="shared" si="91"/>
        <v>0</v>
      </c>
      <c r="K426" s="258">
        <f ca="1">IF(I426&gt;0,J426*100/I426,0)</f>
        <v>0</v>
      </c>
      <c r="L426" s="259">
        <f t="shared" ref="L426:M426" ca="1" si="92">SUM(L427:L428)</f>
        <v>34340</v>
      </c>
      <c r="M426" s="259">
        <f t="shared" si="92"/>
        <v>0</v>
      </c>
      <c r="N426" s="259">
        <f t="shared" ref="N426:N430" ca="1" si="93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34340</v>
      </c>
      <c r="M428" s="52">
        <f t="shared" si="94"/>
        <v>0</v>
      </c>
      <c r="N428" s="52">
        <f t="shared" ca="1" si="93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IFERROR(__xludf.DUMMYFUNCTION("IMPORTRANGE(""https://docs.google.com/spreadsheets/d/1C3CXT74ZlgGe6_JY_1olB1XN4rF0dxEuIIF-xsYjHgg/edit?usp=sharing"",""งบกองทุน!dn63"")"),0)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IFERROR(__xludf.DUMMYFUNCTION("IMPORTRANGE(""https://docs.google.com/spreadsheets/d/1C3CXT74ZlgGe6_JY_1olB1XN4rF0dxEuIIF-xsYjHgg/edit?usp=sharing"",""งบกองทุน!do63"")"),34340)</f>
        <v>34340</v>
      </c>
      <c r="M430" s="52">
        <f>SUM(M431:M434)</f>
        <v>0</v>
      </c>
      <c r="N430" s="52">
        <f t="shared" ca="1" si="93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IFERROR(__xludf.DUMMYFUNCTION("IMPORTRANGE(""https://docs.google.com/spreadsheets/d/1C3CXT74ZlgGe6_JY_1olB1XN4rF0dxEuIIF-xsYjHgg/edit?usp=sharing"",""งบกองทุน!dq63"")"),22)</f>
        <v>22</v>
      </c>
      <c r="J440" s="67">
        <v>0</v>
      </c>
      <c r="K440" s="48">
        <f t="shared" ref="K440:K441" ca="1" si="95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IFERROR(__xludf.DUMMYFUNCTION("IMPORTRANGE(""https://docs.google.com/spreadsheets/d/1C3CXT74ZlgGe6_JY_1olB1XN4rF0dxEuIIF-xsYjHgg/edit?usp=sharing"",""งบกองทุน!dr63"")"),22)</f>
        <v>22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IFERROR(__xludf.DUMMYFUNCTION("IMPORTRANGE(""https://docs.google.com/spreadsheets/d/1C3CXT74ZlgGe6_JY_1olB1XN4rF0dxEuIIF-xsYjHgg/edit?usp=sharing"",""งบกองทุน!dt63"")"),0)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IFERROR(__xludf.DUMMYFUNCTION("IMPORTRANGE(""https://docs.google.com/spreadsheets/d/1C3CXT74ZlgGe6_JY_1olB1XN4rF0dxEuIIF-xsYjHgg/edit?usp=sharing"",""งบกองทุน!du63"")"),0)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IFERROR(__xludf.DUMMYFUNCTION("IMPORTRANGE(""https://docs.google.com/spreadsheets/d/1C3CXT74ZlgGe6_JY_1olB1XN4rF0dxEuIIF-xsYjHgg/edit?usp=sharing"",""งบกองทุน!dw63"")"),0)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IFERROR(__xludf.DUMMYFUNCTION("IMPORTRANGE(""https://docs.google.com/spreadsheets/d/1C3CXT74ZlgGe6_JY_1olB1XN4rF0dxEuIIF-xsYjHgg/edit?usp=sharing"",""งบกองทุน!dx63"")"),0)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IFERROR(__xludf.DUMMYFUNCTION("IMPORTRANGE(""https://docs.google.com/spreadsheets/d/1C3CXT74ZlgGe6_JY_1olB1XN4rF0dxEuIIF-xsYjHgg/edit?usp=sharing"",""งบกองทุน!dy63"")"),0)</f>
        <v>0</v>
      </c>
      <c r="J455" s="66">
        <v>0</v>
      </c>
      <c r="K455" s="48">
        <f t="shared" ca="1" si="100"/>
        <v>0</v>
      </c>
      <c r="L455" s="60"/>
      <c r="M455" s="60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IFERROR(__xludf.DUMMYFUNCTION("IMPORTRANGE(""https://docs.google.com/spreadsheets/d/1C3CXT74ZlgGe6_JY_1olB1XN4rF0dxEuIIF-xsYjHgg/edit?usp=sharing"",""งบกองทุน!dz63"")"),0)</f>
        <v>0</v>
      </c>
      <c r="J456" s="66">
        <v>0</v>
      </c>
      <c r="K456" s="48">
        <f t="shared" ca="1" si="100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200</v>
      </c>
      <c r="J457" s="226">
        <f>+J466</f>
        <v>155</v>
      </c>
      <c r="K457" s="227">
        <f t="shared" ca="1" si="100"/>
        <v>77.5</v>
      </c>
      <c r="L457" s="228">
        <f t="shared" ref="L457:M457" ca="1" si="101">SUM(L458:L459)</f>
        <v>124800</v>
      </c>
      <c r="M457" s="228">
        <f t="shared" si="101"/>
        <v>0</v>
      </c>
      <c r="N457" s="228">
        <f t="shared" ref="N457:N461" ca="1" si="102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124800</v>
      </c>
      <c r="M459" s="52">
        <f t="shared" si="103"/>
        <v>0</v>
      </c>
      <c r="N459" s="52">
        <f t="shared" ca="1" si="102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IFERROR(__xludf.DUMMYFUNCTION("IMPORTRANGE(""https://docs.google.com/spreadsheets/d/1C3CXT74ZlgGe6_JY_1olB1XN4rF0dxEuIIF-xsYjHgg/edit?usp=sharing"",""งบกองทุน!Eb63"")"),0)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IFERROR(__xludf.DUMMYFUNCTION("IMPORTRANGE(""https://docs.google.com/spreadsheets/d/1C3CXT74ZlgGe6_JY_1olB1XN4rF0dxEuIIF-xsYjHgg/edit?usp=sharing"",""งบกองทุน!Ec63"")"),124800)</f>
        <v>124800</v>
      </c>
      <c r="M461" s="52">
        <f>SUM(M462:M465)</f>
        <v>0</v>
      </c>
      <c r="N461" s="52">
        <f t="shared" ca="1" si="102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IFERROR(__xludf.DUMMYFUNCTION("IMPORTRANGE(""https://docs.google.com/spreadsheets/d/1C3CXT74ZlgGe6_JY_1olB1XN4rF0dxEuIIF-xsYjHgg/edit?usp=sharing"",""งบกองทุน!Ed63"")"),200)</f>
        <v>200</v>
      </c>
      <c r="J466" s="265">
        <f>+J469+J470+J471+J472</f>
        <v>155</v>
      </c>
      <c r="K466" s="79">
        <f ca="1">IF(I466&gt;0,J466*100/I466,0)</f>
        <v>77.5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155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0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IFERROR(__xludf.DUMMYFUNCTION("IMPORTRANGE(""https://docs.google.com/spreadsheets/d/1C3CXT74ZlgGe6_JY_1olB1XN4rF0dxEuIIF-xsYjHgg/edit?usp=sharing"",""งบกองทุน!Ek63"")"),0)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IFERROR(__xludf.DUMMYFUNCTION("IMPORTRANGE(""https://docs.google.com/spreadsheets/d/1C3CXT74ZlgGe6_JY_1olB1XN4rF0dxEuIIF-xsYjHgg/edit?usp=sharing"",""งบกองทุน!El63"")"),0)</f>
        <v>0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IFERROR(__xludf.DUMMYFUNCTION("IMPORTRANGE(""https://docs.google.com/spreadsheets/d/1C3CXT74ZlgGe6_JY_1olB1XN4rF0dxEuIIF-xsYjHgg/edit?usp=sharing"",""งบกองทุน!Em63"")"),0)</f>
        <v>0</v>
      </c>
      <c r="J482" s="66">
        <f ca="1">IFERROR(__xludf.DUMMYFUNCTION("IMPORTRANGE(""https://docs.google.com/spreadsheets/d/1AGHcLOeeYFL3K4b9R1dSzyJy00PE_ra89DNTVfnxSWM/edit?usp=sharing"",""รวมที่ชุมชน!G52"")"),0)</f>
        <v>0</v>
      </c>
      <c r="K482" s="48">
        <f t="shared" ref="K482:K489" ca="1" si="107">IF(I482&gt;0,J482*100/I482,0)</f>
        <v>0</v>
      </c>
      <c r="L482" s="60"/>
      <c r="M482" s="52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IFERROR(__xludf.DUMMYFUNCTION("IMPORTRANGE(""https://docs.google.com/spreadsheets/d/1C3CXT74ZlgGe6_JY_1olB1XN4rF0dxEuIIF-xsYjHgg/edit?usp=sharing"",""งบกองทุน!En63"")"),0)</f>
        <v>0</v>
      </c>
      <c r="J483" s="66">
        <f ca="1">IFERROR(__xludf.DUMMYFUNCTION("IMPORTRANGE(""https://docs.google.com/spreadsheets/d/1AGHcLOeeYFL3K4b9R1dSzyJy00PE_ra89DNTVfnxSWM/edit?usp=sharing"",""รวมที่ชุมชน!H52"")"),0)</f>
        <v>0</v>
      </c>
      <c r="K483" s="200">
        <f t="shared" ca="1" si="107"/>
        <v>0</v>
      </c>
      <c r="L483" s="60"/>
      <c r="M483" s="52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IFERROR(__xludf.DUMMYFUNCTION("IMPORTRANGE(""https://docs.google.com/spreadsheets/d/1C3CXT74ZlgGe6_JY_1olB1XN4rF0dxEuIIF-xsYjHgg/edit?usp=sharing"",""งบกองทุน!Eo63"")"),0)</f>
        <v>0</v>
      </c>
      <c r="J484" s="66">
        <f ca="1">IFERROR(__xludf.DUMMYFUNCTION("IMPORTRANGE(""https://docs.google.com/spreadsheets/d/1AGHcLOeeYFL3K4b9R1dSzyJy00PE_ra89DNTVfnxSWM/edit?usp=sharing"",""รวมที่ชุมชน!J52"")"),0)</f>
        <v>0</v>
      </c>
      <c r="K484" s="48">
        <f t="shared" ca="1" si="107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IFERROR(__xludf.DUMMYFUNCTION("IMPORTRANGE(""https://docs.google.com/spreadsheets/d/1C3CXT74ZlgGe6_JY_1olB1XN4rF0dxEuIIF-xsYjHgg/edit?usp=sharing"",""งบกองทุน!Ep63"")"),0)</f>
        <v>0</v>
      </c>
      <c r="J485" s="66">
        <f ca="1">IFERROR(__xludf.DUMMYFUNCTION("IMPORTRANGE(""https://docs.google.com/spreadsheets/d/1AGHcLOeeYFL3K4b9R1dSzyJy00PE_ra89DNTVfnxSWM/edit?usp=sharing"",""รวมที่ชุมชน!L52"")"),0)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IFERROR(__xludf.DUMMYFUNCTION("IMPORTRANGE(""https://docs.google.com/spreadsheets/d/1C3CXT74ZlgGe6_JY_1olB1XN4rF0dxEuIIF-xsYjHgg/edit?usp=sharing"",""งบกองทุน!Eq63"")"),0)</f>
        <v>0</v>
      </c>
      <c r="J486" s="66">
        <f ca="1">IFERROR(__xludf.DUMMYFUNCTION("IMPORTRANGE(""https://docs.google.com/spreadsheets/d/1AGHcLOeeYFL3K4b9R1dSzyJy00PE_ra89DNTVfnxSWM/edit?usp=sharing"",""รวมที่ชุมชน!S52"")"),0)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IFERROR(__xludf.DUMMYFUNCTION("IMPORTRANGE(""https://docs.google.com/spreadsheets/d/1C3CXT74ZlgGe6_JY_1olB1XN4rF0dxEuIIF-xsYjHgg/edit?usp=sharing"",""งบกองทุน!Er63"")"),0)</f>
        <v>0</v>
      </c>
      <c r="J487" s="66">
        <f ca="1">IFERROR(__xludf.DUMMYFUNCTION("IMPORTRANGE(""https://docs.google.com/spreadsheets/d/1AGHcLOeeYFL3K4b9R1dSzyJy00PE_ra89DNTVfnxSWM/edit?usp=sharing"",""รวมที่ชุมชน!U52"")"),0)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IFERROR(__xludf.DUMMYFUNCTION("IMPORTRANGE(""https://docs.google.com/spreadsheets/d/1C3CXT74ZlgGe6_JY_1olB1XN4rF0dxEuIIF-xsYjHgg/edit?usp=sharing"",""งบกองทุน!Es63"")"),0)</f>
        <v>0</v>
      </c>
      <c r="J488" s="66">
        <f ca="1">IFERROR(__xludf.DUMMYFUNCTION("IMPORTRANGE(""https://docs.google.com/spreadsheets/d/1AGHcLOeeYFL3K4b9R1dSzyJy00PE_ra89DNTVfnxSWM/edit?usp=sharing"",""รวมที่ชุมชน!V52"")"),0)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IFERROR(__xludf.DUMMYFUNCTION("IMPORTRANGE(""https://docs.google.com/spreadsheets/d/1C3CXT74ZlgGe6_JY_1olB1XN4rF0dxEuIIF-xsYjHgg/edit?usp=sharing"",""งบกองทุน!Et63"")"),0)</f>
        <v>0</v>
      </c>
      <c r="J489" s="111">
        <f ca="1">IFERROR(__xludf.DUMMYFUNCTION("IMPORTRANGE(""https://docs.google.com/spreadsheets/d/1AGHcLOeeYFL3K4b9R1dSzyJy00PE_ra89DNTVfnxSWM/edit?usp=sharing"",""รวมที่ชุมชน!X52"")"),0)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50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4550</v>
      </c>
      <c r="M490" s="259">
        <f>SUM(M491:M492)</f>
        <v>0</v>
      </c>
      <c r="N490" s="259">
        <f t="shared" ref="N490:N494" ca="1" si="109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4550</v>
      </c>
      <c r="M492" s="52">
        <f t="shared" si="110"/>
        <v>0</v>
      </c>
      <c r="N492" s="52">
        <f t="shared" ca="1" si="109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IFERROR(__xludf.DUMMYFUNCTION("IMPORTRANGE(""https://docs.google.com/spreadsheets/d/1C3CXT74ZlgGe6_JY_1olB1XN4rF0dxEuIIF-xsYjHgg/edit?usp=sharing"",""งบกองทุน!Ev63"")"),0)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IFERROR(__xludf.DUMMYFUNCTION("IMPORTRANGE(""https://docs.google.com/spreadsheets/d/1C3CXT74ZlgGe6_JY_1olB1XN4rF0dxEuIIF-xsYjHgg/edit?usp=sharing"",""งบกองทุน!Ew63"")"),4550)</f>
        <v>4550</v>
      </c>
      <c r="M494" s="52">
        <f>SUM(M495:M498)</f>
        <v>0</v>
      </c>
      <c r="N494" s="52">
        <f t="shared" ca="1" si="109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IFERROR(__xludf.DUMMYFUNCTION("IMPORTRANGE(""https://docs.google.com/spreadsheets/d/1C3CXT74ZlgGe6_JY_1olB1XN4rF0dxEuIIF-xsYjHgg/edit?usp=sharing"",""งบกองทุน!EZ63"")"),50)</f>
        <v>50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IFERROR(__xludf.DUMMYFUNCTION("IMPORTRANGE(""https://docs.google.com/spreadsheets/d/1C3CXT74ZlgGe6_JY_1olB1XN4rF0dxEuIIF-xsYjHgg/edit?usp=sharing"",""งบกองทุน!ff63"")"),0)</f>
        <v>0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IFERROR(__xludf.DUMMYFUNCTION("IMPORTRANGE(""https://docs.google.com/spreadsheets/d/1muirlRDkqiswvy_NRZ3Yh955hx-PF6_HhssUYiSJj8o/edit?usp=sharing"",""กองทุน!D63"")"),2596068.98999999)</f>
        <v>2596068.98999999</v>
      </c>
      <c r="J521" s="199">
        <f ca="1">IFERROR(__xludf.DUMMYFUNCTION("IMPORTRANGE(""https://docs.google.com/spreadsheets/d/1muirlRDkqiswvy_NRZ3Yh955hx-PF6_HhssUYiSJj8o/edit?usp=sharing"",""กองทุน!F63"")"),3707.88)</f>
        <v>3707.88</v>
      </c>
      <c r="K521" s="200">
        <f t="shared" ref="K521:K528" ca="1" si="116">IF(I521&gt;0,J521*100/I521,0)</f>
        <v>0.14282671278316122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IFERROR(__xludf.DUMMYFUNCTION("IMPORTRANGE(""https://docs.google.com/spreadsheets/d/1muirlRDkqiswvy_NRZ3Yh955hx-PF6_HhssUYiSJj8o/edit?usp=sharing"",""กองทุน!C63"")"),200)</f>
        <v>200</v>
      </c>
      <c r="J522" s="199">
        <f ca="1">IFERROR(__xludf.DUMMYFUNCTION("IMPORTRANGE(""https://docs.google.com/spreadsheets/d/1muirlRDkqiswvy_NRZ3Yh955hx-PF6_HhssUYiSJj8o/edit?usp=sharing"",""กองทุน!E63"")"),4)</f>
        <v>4</v>
      </c>
      <c r="K522" s="200">
        <f t="shared" ca="1" si="116"/>
        <v>2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IFERROR(__xludf.DUMMYFUNCTION("IMPORTRANGE(""https://docs.google.com/spreadsheets/d/1muirlRDkqiswvy_NRZ3Yh955hx-PF6_HhssUYiSJj8o/edit?usp=sharing"",""กองทุน!I63"")"),6474868.13)</f>
        <v>6474868.1299999999</v>
      </c>
      <c r="J523" s="199">
        <f ca="1">IFERROR(__xludf.DUMMYFUNCTION("IMPORTRANGE(""https://docs.google.com/spreadsheets/d/1muirlRDkqiswvy_NRZ3Yh955hx-PF6_HhssUYiSJj8o/edit?usp=sharing"",""กองทุน!K63"")"),32338.32)</f>
        <v>32338.32</v>
      </c>
      <c r="K523" s="200">
        <f t="shared" ca="1" si="116"/>
        <v>0.49944368519517635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IFERROR(__xludf.DUMMYFUNCTION("IMPORTRANGE(""https://docs.google.com/spreadsheets/d/1muirlRDkqiswvy_NRZ3Yh955hx-PF6_HhssUYiSJj8o/edit?usp=sharing"",""กองทุน!H63"")"),297)</f>
        <v>297</v>
      </c>
      <c r="J524" s="199">
        <f ca="1">IFERROR(__xludf.DUMMYFUNCTION("IMPORTRANGE(""https://docs.google.com/spreadsheets/d/1muirlRDkqiswvy_NRZ3Yh955hx-PF6_HhssUYiSJj8o/edit?usp=sharing"",""กองทุน!J63"")"),39)</f>
        <v>39</v>
      </c>
      <c r="K524" s="200">
        <f t="shared" ca="1" si="116"/>
        <v>13.131313131313131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IFERROR(__xludf.DUMMYFUNCTION("IMPORTRANGE(""https://docs.google.com/spreadsheets/d/1muirlRDkqiswvy_NRZ3Yh955hx-PF6_HhssUYiSJj8o/edit?usp=sharing"",""กองทุน!N63"")"),11836455)</f>
        <v>11836455</v>
      </c>
      <c r="J525" s="199">
        <f ca="1">IFERROR(__xludf.DUMMYFUNCTION("IMPORTRANGE(""https://docs.google.com/spreadsheets/d/1muirlRDkqiswvy_NRZ3Yh955hx-PF6_HhssUYiSJj8o/edit?usp=sharing"",""กองทุน!P63"")"),60870.15)</f>
        <v>60870.15</v>
      </c>
      <c r="K525" s="200">
        <f t="shared" ca="1" si="116"/>
        <v>0.51425997057395989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IFERROR(__xludf.DUMMYFUNCTION("IMPORTRANGE(""https://docs.google.com/spreadsheets/d/1muirlRDkqiswvy_NRZ3Yh955hx-PF6_HhssUYiSJj8o/edit?usp=sharing"",""กองทุน!M63"")"),180)</f>
        <v>180</v>
      </c>
      <c r="J526" s="199">
        <f ca="1">IFERROR(__xludf.DUMMYFUNCTION("IMPORTRANGE(""https://docs.google.com/spreadsheets/d/1muirlRDkqiswvy_NRZ3Yh955hx-PF6_HhssUYiSJj8o/edit?usp=sharing"",""กองทุน!O63"")"),7)</f>
        <v>7</v>
      </c>
      <c r="K526" s="200">
        <f t="shared" ca="1" si="116"/>
        <v>3.8888888888888888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IFERROR(__xludf.DUMMYFUNCTION("IMPORTRANGE(""https://docs.google.com/spreadsheets/d/1muirlRDkqiswvy_NRZ3Yh955hx-PF6_HhssUYiSJj8o/edit?usp=sharing"",""กองทุน!S63"")"),4700000)</f>
        <v>4700000</v>
      </c>
      <c r="J527" s="199">
        <f ca="1">IFERROR(__xludf.DUMMYFUNCTION("IMPORTRANGE(""https://docs.google.com/spreadsheets/d/1muirlRDkqiswvy_NRZ3Yh955hx-PF6_HhssUYiSJj8o/edit?usp=sharing"",""กองทุน!U63"")"),0)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IFERROR(__xludf.DUMMYFUNCTION("IMPORTRANGE(""https://docs.google.com/spreadsheets/d/1muirlRDkqiswvy_NRZ3Yh955hx-PF6_HhssUYiSJj8o/edit?usp=sharing"",""กองทุน!R63"")"),200)</f>
        <v>200</v>
      </c>
      <c r="J528" s="324">
        <f ca="1">IFERROR(__xludf.DUMMYFUNCTION("IMPORTRANGE(""https://docs.google.com/spreadsheets/d/1muirlRDkqiswvy_NRZ3Yh955hx-PF6_HhssUYiSJj8o/edit?usp=sharing"",""กองทุน!T63"")"),0)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A5" sqref="A5:G5"/>
      <selection pane="bottomLeft" activeCell="A5" sqref="A5:G5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68" t="s">
        <v>0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</row>
    <row r="2" spans="1:14" ht="18" customHeight="1" x14ac:dyDescent="0.55000000000000004">
      <c r="A2" s="368" t="s">
        <v>227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</row>
    <row r="3" spans="1:14" ht="18" customHeight="1" x14ac:dyDescent="0.55000000000000004">
      <c r="A3" s="368" t="s">
        <v>247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70" t="s">
        <v>4</v>
      </c>
      <c r="B5" s="371"/>
      <c r="C5" s="371"/>
      <c r="D5" s="371"/>
      <c r="E5" s="371"/>
      <c r="F5" s="371"/>
      <c r="G5" s="372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879340</v>
      </c>
      <c r="M6" s="16">
        <f t="shared" si="0"/>
        <v>8480</v>
      </c>
      <c r="N6" s="17">
        <f ca="1">IF(L6&gt;0,M6*100/L6,0)</f>
        <v>0.96435963336138464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IFERROR(__xludf.DUMMYFUNCTION("IMPORTRANGE(""https://docs.google.com/spreadsheets/d/1C3CXT74ZlgGe6_JY_1olB1XN4rF0dxEuIIF-xsYjHgg/edit?usp=sharing"",""พรบ!C64"")"),0)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66"/>
      <c r="K13" s="232"/>
      <c r="L13" s="52">
        <f ca="1">IFERROR(__xludf.DUMMYFUNCTION("IMPORTRANGE(""https://docs.google.com/spreadsheets/d/1C3CXT74ZlgGe6_JY_1olB1XN4rF0dxEuIIF-xsYjHgg/edit?usp=sharing"",""พรบ!D64"")"),0)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66"/>
      <c r="K14" s="232"/>
      <c r="L14" s="52">
        <f ca="1">IFERROR(__xludf.DUMMYFUNCTION("IMPORTRANGE(""https://docs.google.com/spreadsheets/d/1C3CXT74ZlgGe6_JY_1olB1XN4rF0dxEuIIF-xsYjHgg/edit?usp=sharing"",""พรบ!E64"")"),0)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28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IFERROR(__xludf.DUMMYFUNCTION("IMPORTRANGE(""https://docs.google.com/spreadsheets/d/1C3CXT74ZlgGe6_JY_1olB1XN4rF0dxEuIIF-xsYjHgg/edit?usp=sharing"",""พรบ!H64"")"),0)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IFERROR(__xludf.DUMMYFUNCTION("IMPORTRANGE(""https://docs.google.com/spreadsheets/d/1C3CXT74ZlgGe6_JY_1olB1XN4rF0dxEuIIF-xsYjHgg/edit?usp=sharing"",""พรบ!I64"")"),0)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IFERROR(__xludf.DUMMYFUNCTION("IMPORTRANGE(""https://docs.google.com/spreadsheets/d/1C3CXT74ZlgGe6_JY_1olB1XN4rF0dxEuIIF-xsYjHgg/edit?usp=sharing"",""พรบ!J64"")"),0)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IFERROR(__xludf.DUMMYFUNCTION("IMPORTRANGE(""https://docs.google.com/spreadsheets/d/1C3CXT74ZlgGe6_JY_1olB1XN4rF0dxEuIIF-xsYjHgg/edit?usp=sharing"",""พรบ!K64"")"),0)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IFERROR(__xludf.DUMMYFUNCTION("IMPORTRANGE(""https://docs.google.com/spreadsheets/d/1C3CXT74ZlgGe6_JY_1olB1XN4rF0dxEuIIF-xsYjHgg/edit?usp=sharing"",""พรบ!L64"")"),0)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IFERROR(__xludf.DUMMYFUNCTION("IMPORTRANGE(""https://docs.google.com/spreadsheets/d/1C3CXT74ZlgGe6_JY_1olB1XN4rF0dxEuIIF-xsYjHgg/edit?usp=sharing"",""พรบ!M64"")"),0)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IFERROR(__xludf.DUMMYFUNCTION("IMPORTRANGE(""https://docs.google.com/spreadsheets/d/1C3CXT74ZlgGe6_JY_1olB1XN4rF0dxEuIIF-xsYjHgg/edit?usp=sharing"",""พรบ!N64"")"),0)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6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IFERROR(__xludf.DUMMYFUNCTION("IMPORTRANGE(""https://docs.google.com/spreadsheets/d/1C3CXT74ZlgGe6_JY_1olB1XN4rF0dxEuIIF-xsYjHgg/edit?usp=sharing"",""พรบ!O64"")"),0)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IFERROR(__xludf.DUMMYFUNCTION("IMPORTRANGE(""https://docs.google.com/spreadsheets/d/1C3CXT74ZlgGe6_JY_1olB1XN4rF0dxEuIIF-xsYjHgg/edit?usp=sharing"",""พรบ!P64"")"),0)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IFERROR(__xludf.DUMMYFUNCTION("IMPORTRANGE(""https://docs.google.com/spreadsheets/d/1C3CXT74ZlgGe6_JY_1olB1XN4rF0dxEuIIF-xsYjHgg/edit?usp=sharing"",""พรบ!Q64"")"),0)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IFERROR(__xludf.DUMMYFUNCTION("IMPORTRANGE(""https://docs.google.com/spreadsheets/d/1C3CXT74ZlgGe6_JY_1olB1XN4rF0dxEuIIF-xsYjHgg/edit?usp=sharing"",""พรบ!R64"")"),0)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IFERROR(__xludf.DUMMYFUNCTION("IMPORTRANGE(""https://docs.google.com/spreadsheets/d/1C3CXT74ZlgGe6_JY_1olB1XN4rF0dxEuIIF-xsYjHgg/edit?usp=sharing"",""พรบ!S64"")"),0)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IFERROR(__xludf.DUMMYFUNCTION("IMPORTRANGE(""https://docs.google.com/spreadsheets/d/1C3CXT74ZlgGe6_JY_1olB1XN4rF0dxEuIIF-xsYjHgg/edit?usp=sharing"",""พรบ!T64"")"),0)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IFERROR(__xludf.DUMMYFUNCTION("IMPORTRANGE(""https://docs.google.com/spreadsheets/d/1C3CXT74ZlgGe6_JY_1olB1XN4rF0dxEuIIF-xsYjHgg/edit?usp=sharing"",""พรบ!U64"")"),0)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IFERROR(__xludf.DUMMYFUNCTION("IMPORTRANGE(""https://docs.google.com/spreadsheets/d/1C3CXT74ZlgGe6_JY_1olB1XN4rF0dxEuIIF-xsYjHgg/edit?usp=sharing"",""พรบ!V64"")"),0)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IFERROR(__xludf.DUMMYFUNCTION("IMPORTRANGE(""https://docs.google.com/spreadsheets/d/1C3CXT74ZlgGe6_JY_1olB1XN4rF0dxEuIIF-xsYjHgg/edit?usp=sharing"",""พรบ!W64"")"),0)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6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IFERROR(__xludf.DUMMYFUNCTION("IMPORTRANGE(""https://docs.google.com/spreadsheets/d/1C3CXT74ZlgGe6_JY_1olB1XN4rF0dxEuIIF-xsYjHgg/edit?usp=sharing"",""พรบ!Y64"")"),0)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IFERROR(__xludf.DUMMYFUNCTION("IMPORTRANGE(""https://docs.google.com/spreadsheets/d/1C3CXT74ZlgGe6_JY_1olB1XN4rF0dxEuIIF-xsYjHgg/edit?usp=sharing"",""พรบ!Z64"")"),0)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246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IFERROR(__xludf.DUMMYFUNCTION("IMPORTRANGE(""https://docs.google.com/spreadsheets/d/1C3CXT74ZlgGe6_JY_1olB1XN4rF0dxEuIIF-xsYjHgg/edit?usp=sharing"",""พรบ!AA64"")"),0)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7">
        <v>0</v>
      </c>
      <c r="K65" s="358"/>
      <c r="L65" s="359"/>
      <c r="M65" s="359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43100</v>
      </c>
      <c r="M68" s="138">
        <f t="shared" si="16"/>
        <v>8480</v>
      </c>
      <c r="N68" s="137">
        <f ca="1">IF(L68&gt;0,M68*100/L68,0)</f>
        <v>19.675174013921115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43100</v>
      </c>
      <c r="M71" s="139">
        <f>SUM(M72:M73)</f>
        <v>8480</v>
      </c>
      <c r="N71" s="49">
        <f t="shared" ca="1" si="17"/>
        <v>19.675174013921115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IFERROR(__xludf.DUMMYFUNCTION("IMPORTRANGE(""https://docs.google.com/spreadsheets/d/1C3CXT74ZlgGe6_JY_1olB1XN4rF0dxEuIIF-xsYjHgg/edit?usp=sharing"",""พรบ!AD64"")"),0)</f>
        <v>0</v>
      </c>
      <c r="M72" s="52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43100</v>
      </c>
      <c r="M73" s="52">
        <f t="shared" si="18"/>
        <v>8480</v>
      </c>
      <c r="N73" s="52">
        <f t="shared" ca="1" si="17"/>
        <v>19.675174013921115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IFERROR(__xludf.DUMMYFUNCTION("IMPORTRANGE(""https://docs.google.com/spreadsheets/d/1C3CXT74ZlgGe6_JY_1olB1XN4rF0dxEuIIF-xsYjHgg/edit?usp=sharing"",""พรบ!AF64"")"),7500)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1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IFERROR(__xludf.DUMMYFUNCTION("IMPORTRANGE(""https://docs.google.com/spreadsheets/d/1C3CXT74ZlgGe6_JY_1olB1XN4rF0dxEuIIF-xsYjHgg/edit?usp=sharing"",""พรบ!AG64"")"),4)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1</v>
      </c>
      <c r="J89" s="149">
        <f t="shared" si="21"/>
        <v>0</v>
      </c>
      <c r="K89" s="150">
        <f ca="1">IF(I89&gt;0,J89*100/I89,0)</f>
        <v>0</v>
      </c>
      <c r="L89" s="147">
        <f ca="1">L90+L91</f>
        <v>14000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14000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IFERROR(__xludf.DUMMYFUNCTION("IMPORTRANGE(""https://docs.google.com/spreadsheets/d/1C3CXT74ZlgGe6_JY_1olB1XN4rF0dxEuIIF-xsYjHgg/edit?usp=sharing"",""พรบ!AH64"")"),14000)</f>
        <v>14000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IFERROR(__xludf.DUMMYFUNCTION("IMPORTRANGE(""https://docs.google.com/spreadsheets/d/1C3CXT74ZlgGe6_JY_1olB1XN4rF0dxEuIIF-xsYjHgg/edit?usp=sharing"",""พรบ!AI64"")"),1)</f>
        <v>1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IFERROR(__xludf.DUMMYFUNCTION("IMPORTRANGE(""https://docs.google.com/spreadsheets/d/1C3CXT74ZlgGe6_JY_1olB1XN4rF0dxEuIIF-xsYjHgg/edit?usp=sharing"",""กปร!C64"")"),12000)</f>
        <v>12000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1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15000</v>
      </c>
      <c r="M101" s="147">
        <f>SUM(M102:M103)</f>
        <v>8480</v>
      </c>
      <c r="N101" s="147">
        <f t="shared" ref="N101:N104" ca="1" si="25">+IF(L101&gt;0,M101*100/L101,0)</f>
        <v>56.533333333333331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15000</v>
      </c>
      <c r="M103" s="49">
        <f>M104</f>
        <v>8480</v>
      </c>
      <c r="N103" s="49">
        <f t="shared" ca="1" si="25"/>
        <v>56.533333333333331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47"/>
      <c r="K104" s="48"/>
      <c r="L104" s="52">
        <f ca="1">IFERROR(__xludf.DUMMYFUNCTION("IMPORTRANGE(""https://docs.google.com/spreadsheets/d/1C3CXT74ZlgGe6_JY_1olB1XN4rF0dxEuIIF-xsYjHgg/edit?usp=sharing"",""พรบ!AJ64"")"),15000)</f>
        <v>15000</v>
      </c>
      <c r="M104" s="53">
        <v>8480</v>
      </c>
      <c r="N104" s="52">
        <f t="shared" ca="1" si="25"/>
        <v>56.533333333333331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47"/>
      <c r="K105" s="48"/>
      <c r="L105" s="60"/>
      <c r="M105" s="60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7">
        <v>0</v>
      </c>
      <c r="K106" s="48"/>
      <c r="L106" s="60"/>
      <c r="M106" s="60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7">
        <v>0</v>
      </c>
      <c r="K107" s="48"/>
      <c r="L107" s="60" t="s">
        <v>21</v>
      </c>
      <c r="M107" s="60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7">
        <v>0</v>
      </c>
      <c r="K108" s="48"/>
      <c r="L108" s="60"/>
      <c r="M108" s="60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7">
        <v>0</v>
      </c>
      <c r="K109" s="48"/>
      <c r="L109" s="60"/>
      <c r="M109" s="60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IFERROR(__xludf.DUMMYFUNCTION("IMPORTRANGE(""https://docs.google.com/spreadsheets/d/1C3CXT74ZlgGe6_JY_1olB1XN4rF0dxEuIIF-xsYjHgg/edit?usp=sharing"",""พรบ!AK64"")"),1)</f>
        <v>1</v>
      </c>
      <c r="J110" s="67">
        <v>0</v>
      </c>
      <c r="K110" s="48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IFERROR(__xludf.DUMMYFUNCTION("IMPORTRANGE(""https://docs.google.com/spreadsheets/d/1C3CXT74ZlgGe6_JY_1olB1XN4rF0dxEuIIF-xsYjHgg/edit?usp=sharing"",""กปร!D64"")"),5000)</f>
        <v>5000</v>
      </c>
      <c r="M110" s="361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IFERROR(__xludf.DUMMYFUNCTION("IMPORTRANGE(""https://docs.google.com/spreadsheets/d/1C3CXT74ZlgGe6_JY_1olB1XN4rF0dxEuIIF-xsYjHgg/edit?usp=sharing"",""พรบ!AL64"")"),1)</f>
        <v>1</v>
      </c>
      <c r="J111" s="67">
        <v>0</v>
      </c>
      <c r="K111" s="48">
        <f t="shared" ca="1" si="26"/>
        <v>0</v>
      </c>
      <c r="L111" s="52">
        <f ca="1">IFERROR(__xludf.DUMMYFUNCTION("IMPORTRANGE(""https://docs.google.com/spreadsheets/d/1C3CXT74ZlgGe6_JY_1olB1XN4rF0dxEuIIF-xsYjHgg/edit?usp=sharing"",""กปร!E64"")"),8000)</f>
        <v>8000</v>
      </c>
      <c r="M111" s="361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7">
        <v>0</v>
      </c>
      <c r="K112" s="48"/>
      <c r="L112" s="60"/>
      <c r="M112" s="60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84">
        <v>0</v>
      </c>
      <c r="K113" s="48"/>
      <c r="L113" s="60"/>
      <c r="M113" s="60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3200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6600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6600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IFERROR(__xludf.DUMMYFUNCTION("IMPORTRANGE(""https://docs.google.com/spreadsheets/d/1C3CXT74ZlgGe6_JY_1olB1XN4rF0dxEuIIF-xsYjHgg/edit?usp=sharing"",""พรบ!AM64"")"),6600)</f>
        <v>6600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IFERROR(__xludf.DUMMYFUNCTION("IMPORTRANGE(""https://docs.google.com/spreadsheets/d/1C3CXT74ZlgGe6_JY_1olB1XN4rF0dxEuIIF-xsYjHgg/edit?usp=sharing"",""พรบ!AO64"")"),3200)</f>
        <v>3200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IFERROR(__xludf.DUMMYFUNCTION("IMPORTRANGE(""https://docs.google.com/spreadsheets/d/1C3CXT74ZlgGe6_JY_1olB1XN4rF0dxEuIIF-xsYjHgg/edit?usp=sharing"",""พรบ!AP64"")"),3200)</f>
        <v>3200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IFERROR(__xludf.DUMMYFUNCTION("IMPORTRANGE(""https://docs.google.com/spreadsheets/d/1C3CXT74ZlgGe6_JY_1olB1XN4rF0dxEuIIF-xsYjHgg/edit?usp=sharing"",""กปร!F64"")"),2600)</f>
        <v>2600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IFERROR(__xludf.DUMMYFUNCTION("IMPORTRANGE(""https://docs.google.com/spreadsheets/d/1C3CXT74ZlgGe6_JY_1olB1XN4rF0dxEuIIF-xsYjHgg/edit?usp=sharing"",""พรบ!AQ64"")"),0)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IFERROR(__xludf.DUMMYFUNCTION("IMPORTRANGE(""https://docs.google.com/spreadsheets/d/1C3CXT74ZlgGe6_JY_1olB1XN4rF0dxEuIIF-xsYjHgg/edit?usp=sharing"",""กปร!G64"")"),0)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IFERROR(__xludf.DUMMYFUNCTION("IMPORTRANGE(""https://docs.google.com/spreadsheets/d/1C3CXT74ZlgGe6_JY_1olB1XN4rF0dxEuIIF-xsYjHgg/edit?usp=sharing"",""พรบ!AR64"")"),0)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IFERROR(__xludf.DUMMYFUNCTION("IMPORTRANGE(""https://docs.google.com/spreadsheets/d/1C3CXT74ZlgGe6_JY_1olB1XN4rF0dxEuIIF-xsYjHgg/edit?usp=sharing"",""พรบ!AS64"")"),0)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IFERROR(__xludf.DUMMYFUNCTION("IMPORTRANGE(""https://docs.google.com/spreadsheets/d/1C3CXT74ZlgGe6_JY_1olB1XN4rF0dxEuIIF-xsYjHgg/edit?usp=sharing"",""กปร!H64"")"),0)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IFERROR(__xludf.DUMMYFUNCTION("IMPORTRANGE(""https://docs.google.com/spreadsheets/d/1C3CXT74ZlgGe6_JY_1olB1XN4rF0dxEuIIF-xsYjHgg/edit?usp=sharing"",""พรบ!AT64"")"),0)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IFERROR(__xludf.DUMMYFUNCTION("IMPORTRANGE(""https://docs.google.com/spreadsheets/d/1C3CXT74ZlgGe6_JY_1olB1XN4rF0dxEuIIF-xsYjHgg/edit?usp=sharing"",""กปร!I64"")"),0)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IFERROR(__xludf.DUMMYFUNCTION("IMPORTRANGE(""https://docs.google.com/spreadsheets/d/1C3CXT74ZlgGe6_JY_1olB1XN4rF0dxEuIIF-xsYjHgg/edit?usp=sharing"",""พรบ!AU64"")"),0)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IFERROR(__xludf.DUMMYFUNCTION("IMPORTRANGE(""https://docs.google.com/spreadsheets/d/1C3CXT74ZlgGe6_JY_1olB1XN4rF0dxEuIIF-xsYjHgg/edit?usp=sharing"",""กปร!J64"")"),0)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7">
        <v>0</v>
      </c>
      <c r="K143" s="358"/>
      <c r="L143" s="359"/>
      <c r="M143" s="359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14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20210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20210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IFERROR(__xludf.DUMMYFUNCTION("IMPORTRANGE(""https://docs.google.com/spreadsheets/d/1C3CXT74ZlgGe6_JY_1olB1XN4rF0dxEuIIF-xsYjHgg/edit?usp=sharing"",""พรบ!AY64"")"),20210)</f>
        <v>20210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14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1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1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IFERROR(__xludf.DUMMYFUNCTION("IMPORTRANGE(""https://docs.google.com/spreadsheets/d/1C3CXT74ZlgGe6_JY_1olB1XN4rF0dxEuIIF-xsYjHgg/edit?usp=sharing"",""พรบ!BA64"")"),14)</f>
        <v>14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66"/>
      <c r="K172" s="232"/>
      <c r="L172" s="52">
        <f ca="1">IFERROR(__xludf.DUMMYFUNCTION("IMPORTRANGE(""https://docs.google.com/spreadsheets/d/1C3CXT74ZlgGe6_JY_1olB1XN4rF0dxEuIIF-xsYjHgg/edit?usp=sharing"",""พรบ!BD64"")"),0)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66"/>
      <c r="K173" s="232"/>
      <c r="L173" s="52">
        <f ca="1">IFERROR(__xludf.DUMMYFUNCTION("IMPORTRANGE(""https://docs.google.com/spreadsheets/d/1C3CXT74ZlgGe6_JY_1olB1XN4rF0dxEuIIF-xsYjHgg/edit?usp=sharing"",""พรบ!BE64"")"),0)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IFERROR(__xludf.DUMMYFUNCTION("IMPORTRANGE(""https://docs.google.com/spreadsheets/d/1C3CXT74ZlgGe6_JY_1olB1XN4rF0dxEuIIF-xsYjHgg/edit?usp=sharing"",""พรบ!BF64"")"),0)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IFERROR(__xludf.DUMMYFUNCTION("IMPORTRANGE(""https://docs.google.com/spreadsheets/d/1C3CXT74ZlgGe6_JY_1olB1XN4rF0dxEuIIF-xsYjHgg/edit?usp=sharing"",""พรบ!BG64"")"),0)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IFERROR(__xludf.DUMMYFUNCTION("IMPORTRANGE(""https://docs.google.com/spreadsheets/d/1C3CXT74ZlgGe6_JY_1olB1XN4rF0dxEuIIF-xsYjHgg/edit?usp=sharing"",""พรบ!BH64"")"),0)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IFERROR(__xludf.DUMMYFUNCTION("IMPORTRANGE(""https://docs.google.com/spreadsheets/d/1C3CXT74ZlgGe6_JY_1olB1XN4rF0dxEuIIF-xsYjHgg/edit?usp=sharing"",""พรบ!BI64"")"),0)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7">
        <v>0</v>
      </c>
      <c r="K184" s="358"/>
      <c r="L184" s="359"/>
      <c r="M184" s="359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0</v>
      </c>
      <c r="J185" s="177">
        <f>+J195</f>
        <v>0</v>
      </c>
      <c r="K185" s="178">
        <f ca="1">IF(I185&gt;0,J185*100/I185,0)</f>
        <v>0</v>
      </c>
      <c r="L185" s="179">
        <f ca="1">L186+L187</f>
        <v>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66"/>
      <c r="J188" s="66"/>
      <c r="K188" s="232"/>
      <c r="L188" s="52">
        <f ca="1">IFERROR(__xludf.DUMMYFUNCTION("IMPORTRANGE(""https://docs.google.com/spreadsheets/d/1C3CXT74ZlgGe6_JY_1olB1XN4rF0dxEuIIF-xsYjHgg/edit?usp=sharing"",""พรบ!BK64"")"),0)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66"/>
      <c r="J189" s="66"/>
      <c r="K189" s="232"/>
      <c r="L189" s="52">
        <f ca="1">IFERROR(__xludf.DUMMYFUNCTION("IMPORTRANGE(""https://docs.google.com/spreadsheets/d/1C3CXT74ZlgGe6_JY_1olB1XN4rF0dxEuIIF-xsYjHgg/edit?usp=sharing"",""พรบ!BL64"")"),0)</f>
        <v>0</v>
      </c>
      <c r="M189" s="52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66"/>
      <c r="J190" s="66"/>
      <c r="K190" s="232"/>
      <c r="L190" s="52"/>
      <c r="M190" s="52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6">
        <v>0</v>
      </c>
      <c r="K191" s="232"/>
      <c r="L191" s="52"/>
      <c r="M191" s="52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6">
        <v>0</v>
      </c>
      <c r="K192" s="232"/>
      <c r="L192" s="52"/>
      <c r="M192" s="52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6">
        <v>0</v>
      </c>
      <c r="K193" s="232"/>
      <c r="L193" s="52"/>
      <c r="M193" s="52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6">
        <v>0</v>
      </c>
      <c r="K194" s="232"/>
      <c r="L194" s="52"/>
      <c r="M194" s="52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IFERROR(__xludf.DUMMYFUNCTION("IMPORTRANGE(""https://docs.google.com/spreadsheets/d/1C3CXT74ZlgGe6_JY_1olB1XN4rF0dxEuIIF-xsYjHgg/edit?usp=sharing"",""พรบ!BM64"")"),0)</f>
        <v>0</v>
      </c>
      <c r="J195" s="66">
        <v>0</v>
      </c>
      <c r="K195" s="232">
        <f ca="1">IF(I195&gt;0,J195*100/I195,0)</f>
        <v>0</v>
      </c>
      <c r="L195" s="52"/>
      <c r="M195" s="52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6">
        <v>0</v>
      </c>
      <c r="K196" s="232"/>
      <c r="L196" s="52"/>
      <c r="M196" s="52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356">
        <v>0</v>
      </c>
      <c r="K197" s="232"/>
      <c r="L197" s="52"/>
      <c r="M197" s="52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IFERROR(__xludf.DUMMYFUNCTION("IMPORTRANGE(""https://docs.google.com/spreadsheets/d/1C3CXT74ZlgGe6_JY_1olB1XN4rF0dxEuIIF-xsYjHgg/edit?usp=sharing"",""พรบ!BP64"")"),0)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IFERROR(__xludf.DUMMYFUNCTION("IMPORTRANGE(""https://docs.google.com/spreadsheets/d/1C3CXT74ZlgGe6_JY_1olB1XN4rF0dxEuIIF-xsYjHgg/edit?usp=sharing"",""พรบ!BQ64"")"),0)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IFERROR(__xludf.DUMMYFUNCTION("IMPORTRANGE(""https://docs.google.com/spreadsheets/d/1C3CXT74ZlgGe6_JY_1olB1XN4rF0dxEuIIF-xsYjHgg/edit?usp=sharing"",""พรบ!BR64"")"),0)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IFERROR(__xludf.DUMMYFUNCTION("IMPORTRANGE(""https://docs.google.com/spreadsheets/d/1C3CXT74ZlgGe6_JY_1olB1XN4rF0dxEuIIF-xsYjHgg/edit?usp=sharing"",""พรบ!BU64"")"),0)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IFERROR(__xludf.DUMMYFUNCTION("IMPORTRANGE(""https://docs.google.com/spreadsheets/d/1C3CXT74ZlgGe6_JY_1olB1XN4rF0dxEuIIF-xsYjHgg/edit?usp=sharing"",""พรบ!BV64"")"),0)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170</v>
      </c>
      <c r="J228" s="197">
        <f ca="1">J240</f>
        <v>4</v>
      </c>
      <c r="K228" s="178">
        <f ca="1">IF(I228&gt;0,J228*100/I228,0)</f>
        <v>2.3529411764705883</v>
      </c>
      <c r="L228" s="179">
        <f ca="1">L229+L230</f>
        <v>816030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816030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IFERROR(__xludf.DUMMYFUNCTION("IMPORTRANGE(""https://docs.google.com/spreadsheets/d/1C3CXT74ZlgGe6_JY_1olB1XN4rF0dxEuIIF-xsYjHgg/edit?usp=sharing"",""พรบ!BX64"")"),493800)</f>
        <v>493800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IFERROR(__xludf.DUMMYFUNCTION("IMPORTRANGE(""https://docs.google.com/spreadsheets/d/1C3CXT74ZlgGe6_JY_1olB1XN4rF0dxEuIIF-xsYjHgg/edit?usp=sharing"",""พรบ!BY64"")"),322230)</f>
        <v>322230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IFERROR(__xludf.DUMMYFUNCTION("IMPORTRANGE(""https://docs.google.com/spreadsheets/d/1AGHcLOeeYFL3K4b9R1dSzyJy00PE_ra89DNTVfnxSWM/edit?usp=sharing"",""รวมที่ทำกิน!J53"")"),0)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IFERROR(__xludf.DUMMYFUNCTION("IMPORTRANGE(""https://docs.google.com/spreadsheets/d/1C3CXT74ZlgGe6_JY_1olB1XN4rF0dxEuIIF-xsYjHgg/edit?usp=sharing"",""พรบ!BZ64"")"),1600)</f>
        <v>1600</v>
      </c>
      <c r="J235" s="66">
        <f ca="1">IFERROR(__xludf.DUMMYFUNCTION("IMPORTRANGE(""https://docs.google.com/spreadsheets/d/1AGHcLOeeYFL3K4b9R1dSzyJy00PE_ra89DNTVfnxSWM/edit?usp=sharing"",""รวมที่ทำกิน!L53"")"),0)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IFERROR(__xludf.DUMMYFUNCTION("IMPORTRANGE(""https://docs.google.com/spreadsheets/d/1C3CXT74ZlgGe6_JY_1olB1XN4rF0dxEuIIF-xsYjHgg/edit?usp=sharing"",""พรบ!CA64"")"),170)</f>
        <v>170</v>
      </c>
      <c r="J236" s="66">
        <f ca="1">IFERROR(__xludf.DUMMYFUNCTION("IMPORTRANGE(""https://docs.google.com/spreadsheets/d/1AGHcLOeeYFL3K4b9R1dSzyJy00PE_ra89DNTVfnxSWM/edit?usp=sharing"",""รวมที่ทำกิน!O53"")"),4)</f>
        <v>4</v>
      </c>
      <c r="K236" s="200">
        <f t="shared" ca="1" si="52"/>
        <v>2.3529411764705883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IFERROR(__xludf.DUMMYFUNCTION("IMPORTRANGE(""https://docs.google.com/spreadsheets/d/1AGHcLOeeYFL3K4b9R1dSzyJy00PE_ra89DNTVfnxSWM/edit?usp=sharing"",""รวมที่ทำกิน!Q53"")"),118.75)</f>
        <v>118.75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IFERROR(__xludf.DUMMYFUNCTION("IMPORTRANGE(""https://docs.google.com/spreadsheets/d/1C3CXT74ZlgGe6_JY_1olB1XN4rF0dxEuIIF-xsYjHgg/edit?usp=sharing"",""พรบ!CB64"")"),170)</f>
        <v>170</v>
      </c>
      <c r="J238" s="66">
        <f ca="1">IFERROR(__xludf.DUMMYFUNCTION("IMPORTRANGE(""https://docs.google.com/spreadsheets/d/1AGHcLOeeYFL3K4b9R1dSzyJy00PE_ra89DNTVfnxSWM/edit?usp=sharing"",""รวมที่ทำกิน!S53"")"),0)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IFERROR(__xludf.DUMMYFUNCTION("IMPORTRANGE(""https://docs.google.com/spreadsheets/d/1AGHcLOeeYFL3K4b9R1dSzyJy00PE_ra89DNTVfnxSWM/edit?usp=sharing"",""รวมที่ทำกิน!U53"")"),0)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IFERROR(__xludf.DUMMYFUNCTION("IMPORTRANGE(""https://docs.google.com/spreadsheets/d/1C3CXT74ZlgGe6_JY_1olB1XN4rF0dxEuIIF-xsYjHgg/edit?usp=sharing"",""พรบ!CC64"")"),170)</f>
        <v>170</v>
      </c>
      <c r="J240" s="66">
        <f ca="1">IFERROR(__xludf.DUMMYFUNCTION("IMPORTRANGE(""https://docs.google.com/spreadsheets/d/1AGHcLOeeYFL3K4b9R1dSzyJy00PE_ra89DNTVfnxSWM/edit?usp=sharing"",""รวมที่ทำกิน!W53"")"),4)</f>
        <v>4</v>
      </c>
      <c r="K240" s="200">
        <f t="shared" ca="1" si="52"/>
        <v>2.3529411764705883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IFERROR(__xludf.DUMMYFUNCTION("IMPORTRANGE(""https://docs.google.com/spreadsheets/d/1AGHcLOeeYFL3K4b9R1dSzyJy00PE_ra89DNTVfnxSWM/edit?usp=sharing"",""รวมที่ทำกิน!Y53"")"),118.75)</f>
        <v>118.75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623342</v>
      </c>
      <c r="M242" s="213">
        <f t="shared" si="53"/>
        <v>27418</v>
      </c>
      <c r="N242" s="213">
        <f ca="1">+IF(L242&gt;0,M242*100/L242,0)</f>
        <v>4.3985484693795698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0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66"/>
      <c r="K246" s="232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66"/>
      <c r="K247" s="232"/>
      <c r="L247" s="49">
        <f t="shared" ref="L247:M247" ca="1" si="58">SUM(L248:L249)</f>
        <v>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66"/>
      <c r="K248" s="232"/>
      <c r="L248" s="52">
        <f ca="1">IFERROR(__xludf.DUMMYFUNCTION("IMPORTRANGE(""https://docs.google.com/spreadsheets/d/1C3CXT74ZlgGe6_JY_1olB1XN4rF0dxEuIIF-xsYjHgg/edit?usp=sharing"",""งบกองทุน!d64"")"),0)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66"/>
      <c r="K249" s="232"/>
      <c r="L249" s="52">
        <f ca="1">IFERROR(__xludf.DUMMYFUNCTION("IMPORTRANGE(""https://docs.google.com/spreadsheets/d/1C3CXT74ZlgGe6_JY_1olB1XN4rF0dxEuIIF-xsYjHgg/edit?usp=sharing"",""งบกองทุน!e64"")"),0)</f>
        <v>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2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2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2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2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66"/>
      <c r="K254" s="232"/>
      <c r="L254" s="52"/>
      <c r="M254" s="52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6">
        <v>0</v>
      </c>
      <c r="K255" s="232"/>
      <c r="L255" s="52"/>
      <c r="M255" s="52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6">
        <v>0</v>
      </c>
      <c r="K256" s="232"/>
      <c r="L256" s="52" t="s">
        <v>21</v>
      </c>
      <c r="M256" s="52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6">
        <v>0</v>
      </c>
      <c r="K257" s="232"/>
      <c r="L257" s="52"/>
      <c r="M257" s="52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6">
        <v>0</v>
      </c>
      <c r="K258" s="232"/>
      <c r="L258" s="52"/>
      <c r="M258" s="52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232"/>
      <c r="L259" s="52"/>
      <c r="M259" s="52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IFERROR(__xludf.DUMMYFUNCTION("IMPORTRANGE(""https://docs.google.com/spreadsheets/d/1C3CXT74ZlgGe6_JY_1olB1XN4rF0dxEuIIF-xsYjHgg/edit?usp=sharing"",""งบกองทุน!f64"")"),0)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IFERROR(__xludf.DUMMYFUNCTION("IMPORTRANGE(""https://docs.google.com/spreadsheets/d/1C3CXT74ZlgGe6_JY_1olB1XN4rF0dxEuIIF-xsYjHgg/edit?usp=sharing"",""งบกองทุน!H64"")"),0)</f>
        <v>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IFERROR(__xludf.DUMMYFUNCTION("IMPORTRANGE(""https://docs.google.com/spreadsheets/d/1C3CXT74ZlgGe6_JY_1olB1XN4rF0dxEuIIF-xsYjHgg/edit?usp=sharing"",""งบกองทุน!i64"")"),0)</f>
        <v>0</v>
      </c>
      <c r="J264" s="66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0</v>
      </c>
      <c r="J265" s="66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IFERROR(__xludf.DUMMYFUNCTION("IMPORTRANGE(""https://docs.google.com/spreadsheets/d/1C3CXT74ZlgGe6_JY_1olB1XN4rF0dxEuIIF-xsYjHgg/edit?usp=sharing"",""งบกองทุน!k64"")"),0)</f>
        <v>0</v>
      </c>
      <c r="J266" s="66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0</v>
      </c>
      <c r="J267" s="66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IFERROR(__xludf.DUMMYFUNCTION("IMPORTRANGE(""https://docs.google.com/spreadsheets/d/1C3CXT74ZlgGe6_JY_1olB1XN4rF0dxEuIIF-xsYjHgg/edit?usp=sharing"",""งบกองทุน!m64"")"),0)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IFERROR(__xludf.DUMMYFUNCTION("IMPORTRANGE(""https://docs.google.com/spreadsheets/d/1C3CXT74ZlgGe6_JY_1olB1XN4rF0dxEuIIF-xsYjHgg/edit?usp=sharing"",""งบกองทุน!o64"")"),0)</f>
        <v>0</v>
      </c>
      <c r="J271" s="66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IFERROR(__xludf.DUMMYFUNCTION("IMPORTRANGE(""https://docs.google.com/spreadsheets/d/1C3CXT74ZlgGe6_JY_1olB1XN4rF0dxEuIIF-xsYjHgg/edit?usp=sharing"",""งบกองทุน!p64"")"),0)</f>
        <v>0</v>
      </c>
      <c r="J272" s="66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6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356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200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207560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20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207560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IFERROR(__xludf.DUMMYFUNCTION("IMPORTRANGE(""https://docs.google.com/spreadsheets/d/1C3CXT74ZlgGe6_JY_1olB1XN4rF0dxEuIIF-xsYjHgg/edit?usp=sharing"",""งบกองทุน!r64"")"),0)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IFERROR(__xludf.DUMMYFUNCTION("IMPORTRANGE(""https://docs.google.com/spreadsheets/d/1C3CXT74ZlgGe6_JY_1olB1XN4rF0dxEuIIF-xsYjHgg/edit?usp=sharing"",""งบกองทุน!s64"")"),207560)</f>
        <v>207560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0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IFERROR(__xludf.DUMMYFUNCTION("IMPORTRANGE(""https://docs.google.com/spreadsheets/d/1C3CXT74ZlgGe6_JY_1olB1XN4rF0dxEuIIF-xsYjHgg/edit?usp=sharing"",""งบกองทุน!v64"")"),20)</f>
        <v>20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IFERROR(__xludf.DUMMYFUNCTION("IMPORTRANGE(""https://docs.google.com/spreadsheets/d/1C3CXT74ZlgGe6_JY_1olB1XN4rF0dxEuIIF-xsYjHgg/edit?usp=sharing"",""งบกองทุน!w64"")"),200)</f>
        <v>200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IFERROR(__xludf.DUMMYFUNCTION("IMPORTRANGE(""https://docs.google.com/spreadsheets/d/1C3CXT74ZlgGe6_JY_1olB1XN4rF0dxEuIIF-xsYjHgg/edit?usp=sharing"",""งบกองทุน!x64"")"),20)</f>
        <v>20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90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116320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30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116320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IFERROR(__xludf.DUMMYFUNCTION("IMPORTRANGE(""https://docs.google.com/spreadsheets/d/1C3CXT74ZlgGe6_JY_1olB1XN4rF0dxEuIIF-xsYjHgg/edit?usp=sharing"",""งบกองทุน!z64"")"),0)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IFERROR(__xludf.DUMMYFUNCTION("IMPORTRANGE(""https://docs.google.com/spreadsheets/d/1C3CXT74ZlgGe6_JY_1olB1XN4rF0dxEuIIF-xsYjHgg/edit?usp=sharing"",""งบกองทุน!aa64"")"),116320)</f>
        <v>116320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30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IFERROR(__xludf.DUMMYFUNCTION("IMPORTRANGE(""https://docs.google.com/spreadsheets/d/1C3CXT74ZlgGe6_JY_1olB1XN4rF0dxEuIIF-xsYjHgg/edit?usp=sharing"",""งบกองทุน!ae64"")"),10)</f>
        <v>10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IFERROR(__xludf.DUMMYFUNCTION("IMPORTRANGE(""https://docs.google.com/spreadsheets/d/1C3CXT74ZlgGe6_JY_1olB1XN4rF0dxEuIIF-xsYjHgg/edit?usp=sharing"",""งบกองทุน!ad64"")"),30)</f>
        <v>30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IFERROR(__xludf.DUMMYFUNCTION("IMPORTRANGE(""https://docs.google.com/spreadsheets/d/1C3CXT74ZlgGe6_JY_1olB1XN4rF0dxEuIIF-xsYjHgg/edit?usp=sharing"",""งบกองทุน!af64"")"),10)</f>
        <v>10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IFERROR(__xludf.DUMMYFUNCTION("IMPORTRANGE(""https://docs.google.com/spreadsheets/d/1C3CXT74ZlgGe6_JY_1olB1XN4rF0dxEuIIF-xsYjHgg/edit?usp=sharing"",""งบกองทุน!ag64"")"),10)</f>
        <v>10</v>
      </c>
      <c r="J315" s="247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IFERROR(__xludf.DUMMYFUNCTION("IMPORTRANGE(""https://docs.google.com/spreadsheets/d/1C3CXT74ZlgGe6_JY_1olB1XN4rF0dxEuIIF-xsYjHgg/edit?usp=sharing"",""งบกองทุน!ai64"")"),10)</f>
        <v>10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IFERROR(__xludf.DUMMYFUNCTION("IMPORTRANGE(""https://docs.google.com/spreadsheets/d/1C3CXT74ZlgGe6_JY_1olB1XN4rF0dxEuIIF-xsYjHgg/edit?usp=sharing"",""งบกองทุน!ah64"")"),30)</f>
        <v>30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IFERROR(__xludf.DUMMYFUNCTION("IMPORTRANGE(""https://docs.google.com/spreadsheets/d/1C3CXT74ZlgGe6_JY_1olB1XN4rF0dxEuIIF-xsYjHgg/edit?usp=sharing"",""งบกองทุน!aj64"")"),10)</f>
        <v>10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IFERROR(__xludf.DUMMYFUNCTION("IMPORTRANGE(""https://docs.google.com/spreadsheets/d/1C3CXT74ZlgGe6_JY_1olB1XN4rF0dxEuIIF-xsYjHgg/edit?usp=sharing"",""งบกองทุน!ak64"")"),10)</f>
        <v>10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IFERROR(__xludf.DUMMYFUNCTION("IMPORTRANGE(""https://docs.google.com/spreadsheets/d/1C3CXT74ZlgGe6_JY_1olB1XN4rF0dxEuIIF-xsYjHgg/edit?usp=sharing"",""งบกองทุน!al64"")"),10)</f>
        <v>10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IFERROR(__xludf.DUMMYFUNCTION("IMPORTRANGE(""https://docs.google.com/spreadsheets/d/1C3CXT74ZlgGe6_JY_1olB1XN4rF0dxEuIIF-xsYjHgg/edit?usp=sharing"",""งบกองทุน!an64"")"),10)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IFERROR(__xludf.DUMMYFUNCTION("IMPORTRANGE(""https://docs.google.com/spreadsheets/d/1C3CXT74ZlgGe6_JY_1olB1XN4rF0dxEuIIF-xsYjHgg/edit?usp=sharing"",""งบกองทุน!am64"")"),30)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IFERROR(__xludf.DUMMYFUNCTION("IMPORTRANGE(""https://docs.google.com/spreadsheets/d/1C3CXT74ZlgGe6_JY_1olB1XN4rF0dxEuIIF-xsYjHgg/edit?usp=sharing"",""งบกองทุน!ao64"")"),10)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IFERROR(__xludf.DUMMYFUNCTION("IMPORTRANGE(""https://docs.google.com/spreadsheets/d/1C3CXT74ZlgGe6_JY_1olB1XN4rF0dxEuIIF-xsYjHgg/edit?usp=sharing"",""งบกองทุน!ap64"")"),10)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20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IFERROR(__xludf.DUMMYFUNCTION("IMPORTRANGE(""https://docs.google.com/spreadsheets/d/1C3CXT74ZlgGe6_JY_1olB1XN4rF0dxEuIIF-xsYjHgg/edit?usp=sharing"",""งบกองทุน!ar64"")"),10)</f>
        <v>10</v>
      </c>
      <c r="J326" s="67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IFERROR(__xludf.DUMMYFUNCTION("IMPORTRANGE(""https://docs.google.com/spreadsheets/d/1C3CXT74ZlgGe6_JY_1olB1XN4rF0dxEuIIF-xsYjHgg/edit?usp=sharing"",""งบกองทุน!as64"")"),10)</f>
        <v>10</v>
      </c>
      <c r="J327" s="67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10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72000</v>
      </c>
      <c r="M330" s="259">
        <f t="shared" si="74"/>
        <v>4610</v>
      </c>
      <c r="N330" s="259">
        <f t="shared" ref="N330:N334" ca="1" si="75">+IF(L330&gt;0,M330*100/L330,0)</f>
        <v>6.4027777777777777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72000</v>
      </c>
      <c r="M332" s="52">
        <f t="shared" si="76"/>
        <v>4610</v>
      </c>
      <c r="N332" s="52">
        <f t="shared" ca="1" si="75"/>
        <v>6.4027777777777777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IFERROR(__xludf.DUMMYFUNCTION("IMPORTRANGE(""https://docs.google.com/spreadsheets/d/1C3CXT74ZlgGe6_JY_1olB1XN4rF0dxEuIIF-xsYjHgg/edit?usp=sharing"",""งบกองทุน!au64"")"),0)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IFERROR(__xludf.DUMMYFUNCTION("IMPORTRANGE(""https://docs.google.com/spreadsheets/d/1C3CXT74ZlgGe6_JY_1olB1XN4rF0dxEuIIF-xsYjHgg/edit?usp=sharing"",""งบกองทุน!av64"")"),72000)</f>
        <v>72000</v>
      </c>
      <c r="M334" s="52">
        <f>SUM(M335:M338)</f>
        <v>4610</v>
      </c>
      <c r="N334" s="52">
        <f t="shared" ca="1" si="75"/>
        <v>6.4027777777777777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4610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1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10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IFERROR(__xludf.DUMMYFUNCTION("IMPORTRANGE(""https://docs.google.com/spreadsheets/d/1C3CXT74ZlgGe6_JY_1olB1XN4rF0dxEuIIF-xsYjHgg/edit?usp=sharing"",""งบกองทุน!ay64"")"),10)</f>
        <v>10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IFERROR(__xludf.DUMMYFUNCTION("IMPORTRANGE(""https://docs.google.com/spreadsheets/d/1C3CXT74ZlgGe6_JY_1olB1XN4rF0dxEuIIF-xsYjHgg/edit?usp=sharing"",""งบกองทุน!az64"")"),0)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IFERROR(__xludf.DUMMYFUNCTION("IMPORTRANGE(""https://docs.google.com/spreadsheets/d/1C3CXT74ZlgGe6_JY_1olB1XN4rF0dxEuIIF-xsYjHgg/edit?usp=sharing"",""งบกองทุน!Ba64"")"),0)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0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66252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66252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IFERROR(__xludf.DUMMYFUNCTION("IMPORTRANGE(""https://docs.google.com/spreadsheets/d/1C3CXT74ZlgGe6_JY_1olB1XN4rF0dxEuIIF-xsYjHgg/edit?usp=sharing"",""งบกองทุน!Bc64"")"),0)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IFERROR(__xludf.DUMMYFUNCTION("IMPORTRANGE(""https://docs.google.com/spreadsheets/d/1C3CXT74ZlgGe6_JY_1olB1XN4rF0dxEuIIF-xsYjHgg/edit?usp=sharing"",""งบกองทุน!Bd64"")"),66252)</f>
        <v>66252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IFERROR(__xludf.DUMMYFUNCTION("IMPORTRANGE(""https://docs.google.com/spreadsheets/d/1C3CXT74ZlgGe6_JY_1olB1XN4rF0dxEuIIF-xsYjHgg/edit?usp=sharing"",""งบกองทุน!BE64"")"),0)</f>
        <v>0</v>
      </c>
      <c r="J359" s="136">
        <f>+J376</f>
        <v>0</v>
      </c>
      <c r="K359" s="137">
        <f t="shared" ref="K359:K408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IFERROR(__xludf.DUMMYFUNCTION("IMPORTRANGE(""https://docs.google.com/spreadsheets/d/1C3CXT74ZlgGe6_JY_1olB1XN4rF0dxEuIIF-xsYjHgg/edit?usp=sharing"",""งบกองทุน!BE64"")"),0)</f>
        <v>0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IFERROR(__xludf.DUMMYFUNCTION("IMPORTRANGE(""https://docs.google.com/spreadsheets/d/1C3CXT74ZlgGe6_JY_1olB1XN4rF0dxEuIIF-xsYjHgg/edit?usp=sharing"",""งบกองทุน!Bf64"")"),0)</f>
        <v>0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0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265">
        <f ca="1">I361</f>
        <v>0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0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47">
        <f ca="1">I361</f>
        <v>0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IFERROR(__xludf.DUMMYFUNCTION("IMPORTRANGE(""https://docs.google.com/spreadsheets/d/1C3CXT74ZlgGe6_JY_1olB1XN4rF0dxEuIIF-xsYjHgg/edit?usp=sharing"",""งบกองทุน!cd64"")"),1395)</f>
        <v>1395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IFERROR(__xludf.DUMMYFUNCTION("IMPORTRANGE(""https://docs.google.com/spreadsheets/d/1C3CXT74ZlgGe6_JY_1olB1XN4rF0dxEuIIF-xsYjHgg/edit?usp=sharing"",""งบกองทุน!cd64"")"),1395)</f>
        <v>1395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IFERROR(__xludf.DUMMYFUNCTION("IMPORTRANGE(""https://docs.google.com/spreadsheets/d/1C3CXT74ZlgGe6_JY_1olB1XN4rF0dxEuIIF-xsYjHgg/edit?usp=sharing"",""งบกองทุน!cc64"")"),89)</f>
        <v>89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IFERROR(__xludf.DUMMYFUNCTION("IMPORTRANGE(""https://docs.google.com/spreadsheets/d/1C3CXT74ZlgGe6_JY_1olB1XN4rF0dxEuIIF-xsYjHgg/edit?usp=sharing"",""งบกองทุน!cz64"")"),0)</f>
        <v>0</v>
      </c>
      <c r="J409" s="136">
        <v>0</v>
      </c>
      <c r="K409" s="137"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IFERROR(__xludf.DUMMYFUNCTION("IMPORTRANGE(""https://docs.google.com/spreadsheets/d/1C3CXT74ZlgGe6_JY_1olB1XN4rF0dxEuIIF-xsYjHgg/edit?usp=sharing"",""งบกองทุน!cz64"")"),0)</f>
        <v>0</v>
      </c>
      <c r="J410" s="149">
        <v>0</v>
      </c>
      <c r="K410" s="146"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IFERROR(__xludf.DUMMYFUNCTION("IMPORTRANGE(""https://docs.google.com/spreadsheets/d/1C3CXT74ZlgGe6_JY_1olB1XN4rF0dxEuIIF-xsYjHgg/edit?usp=sharing"",""งบกองทุน!cy64"")"),0)</f>
        <v>0</v>
      </c>
      <c r="J411" s="149">
        <v>0</v>
      </c>
      <c r="K411" s="146"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IFERROR(__xludf.DUMMYFUNCTION("IMPORTRANGE(""https://docs.google.com/spreadsheets/d/1C3CXT74ZlgGe6_JY_1olB1XN4rF0dxEuIIF-xsYjHgg/edit?usp=sharing"",""งบกองทุน!db64"")"),0)</f>
        <v>0</v>
      </c>
      <c r="K412" s="48"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IFERROR(__xludf.DUMMYFUNCTION("IMPORTRANGE(""https://docs.google.com/spreadsheets/d/1C3CXT74ZlgGe6_JY_1olB1XN4rF0dxEuIIF-xsYjHgg/edit?usp=sharing"",""งบกองทุน!da64"")"),0)</f>
        <v>0</v>
      </c>
      <c r="K413" s="48"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IFERROR(__xludf.DUMMYFUNCTION("IMPORTRANGE(""https://docs.google.com/spreadsheets/d/1C3CXT74ZlgGe6_JY_1olB1XN4rF0dxEuIIF-xsYjHgg/edit?usp=sharing"",""งบกองทุน!dd64"")"),0)</f>
        <v>0</v>
      </c>
      <c r="K414" s="48"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IFERROR(__xludf.DUMMYFUNCTION("IMPORTRANGE(""https://docs.google.com/spreadsheets/d/1C3CXT74ZlgGe6_JY_1olB1XN4rF0dxEuIIF-xsYjHgg/edit?usp=sharing"",""งบกองทุน!dc64"")"),0)</f>
        <v>0</v>
      </c>
      <c r="K415" s="48"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IFERROR(__xludf.DUMMYFUNCTION("IMPORTRANGE(""https://docs.google.com/spreadsheets/d/1C3CXT74ZlgGe6_JY_1olB1XN4rF0dxEuIIF-xsYjHgg/edit?usp=sharing"",""งบกองทุน!df64"")"),0)</f>
        <v>0</v>
      </c>
      <c r="K416" s="48"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IFERROR(__xludf.DUMMYFUNCTION("IMPORTRANGE(""https://docs.google.com/spreadsheets/d/1C3CXT74ZlgGe6_JY_1olB1XN4rF0dxEuIIF-xsYjHgg/edit?usp=sharing"",""งบกองทุน!de64"")"),0)</f>
        <v>0</v>
      </c>
      <c r="K417" s="48"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4">
        <v>0</v>
      </c>
      <c r="J425" s="300">
        <v>0</v>
      </c>
      <c r="K425" s="301"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22</v>
      </c>
      <c r="J426" s="257">
        <f t="shared" si="91"/>
        <v>22</v>
      </c>
      <c r="K426" s="258">
        <f ca="1">IF(I426&gt;0,J426*100/I426,0)</f>
        <v>100</v>
      </c>
      <c r="L426" s="259">
        <f t="shared" ref="L426:M426" ca="1" si="92">SUM(L427:L428)</f>
        <v>34340</v>
      </c>
      <c r="M426" s="259">
        <f t="shared" si="92"/>
        <v>19408</v>
      </c>
      <c r="N426" s="259">
        <f t="shared" ref="N426:N430" ca="1" si="93">+IF(L426&gt;0,M426*100/L426,0)</f>
        <v>56.517181129877692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34340</v>
      </c>
      <c r="M428" s="52">
        <f t="shared" si="94"/>
        <v>19408</v>
      </c>
      <c r="N428" s="52">
        <f t="shared" ca="1" si="93"/>
        <v>56.517181129877692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IFERROR(__xludf.DUMMYFUNCTION("IMPORTRANGE(""https://docs.google.com/spreadsheets/d/1C3CXT74ZlgGe6_JY_1olB1XN4rF0dxEuIIF-xsYjHgg/edit?usp=sharing"",""งบกองทุน!dn64"")"),0)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IFERROR(__xludf.DUMMYFUNCTION("IMPORTRANGE(""https://docs.google.com/spreadsheets/d/1C3CXT74ZlgGe6_JY_1olB1XN4rF0dxEuIIF-xsYjHgg/edit?usp=sharing"",""งบกองทุน!do64"")"),34340)</f>
        <v>34340</v>
      </c>
      <c r="M430" s="52">
        <f>SUM(M431:M434)</f>
        <v>19408</v>
      </c>
      <c r="N430" s="52">
        <f t="shared" ca="1" si="93"/>
        <v>56.517181129877692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16828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2580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1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IFERROR(__xludf.DUMMYFUNCTION("IMPORTRANGE(""https://docs.google.com/spreadsheets/d/1C3CXT74ZlgGe6_JY_1olB1XN4rF0dxEuIIF-xsYjHgg/edit?usp=sharing"",""งบกองทุน!dq64"")"),22)</f>
        <v>22</v>
      </c>
      <c r="J440" s="67">
        <v>22</v>
      </c>
      <c r="K440" s="48">
        <f t="shared" ref="K440:K441" ca="1" si="95">IF(I440&gt;0,J440*100/I440,0)</f>
        <v>100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IFERROR(__xludf.DUMMYFUNCTION("IMPORTRANGE(""https://docs.google.com/spreadsheets/d/1C3CXT74ZlgGe6_JY_1olB1XN4rF0dxEuIIF-xsYjHgg/edit?usp=sharing"",""งบกองทุน!dr64"")"),22)</f>
        <v>22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IFERROR(__xludf.DUMMYFUNCTION("IMPORTRANGE(""https://docs.google.com/spreadsheets/d/1C3CXT74ZlgGe6_JY_1olB1XN4rF0dxEuIIF-xsYjHgg/edit?usp=sharing"",""งบกองทุน!dt64"")"),0)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IFERROR(__xludf.DUMMYFUNCTION("IMPORTRANGE(""https://docs.google.com/spreadsheets/d/1C3CXT74ZlgGe6_JY_1olB1XN4rF0dxEuIIF-xsYjHgg/edit?usp=sharing"",""งบกองทุน!du64"")"),0)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IFERROR(__xludf.DUMMYFUNCTION("IMPORTRANGE(""https://docs.google.com/spreadsheets/d/1C3CXT74ZlgGe6_JY_1olB1XN4rF0dxEuIIF-xsYjHgg/edit?usp=sharing"",""งบกองทุน!dw64"")"),0)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IFERROR(__xludf.DUMMYFUNCTION("IMPORTRANGE(""https://docs.google.com/spreadsheets/d/1C3CXT74ZlgGe6_JY_1olB1XN4rF0dxEuIIF-xsYjHgg/edit?usp=sharing"",""งบกองทุน!dx64"")"),0)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IFERROR(__xludf.DUMMYFUNCTION("IMPORTRANGE(""https://docs.google.com/spreadsheets/d/1C3CXT74ZlgGe6_JY_1olB1XN4rF0dxEuIIF-xsYjHgg/edit?usp=sharing"",""งบกองทุน!dy64"")"),0)</f>
        <v>0</v>
      </c>
      <c r="J455" s="66">
        <v>0</v>
      </c>
      <c r="K455" s="48">
        <f t="shared" ca="1" si="100"/>
        <v>0</v>
      </c>
      <c r="L455" s="60"/>
      <c r="M455" s="60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IFERROR(__xludf.DUMMYFUNCTION("IMPORTRANGE(""https://docs.google.com/spreadsheets/d/1C3CXT74ZlgGe6_JY_1olB1XN4rF0dxEuIIF-xsYjHgg/edit?usp=sharing"",""งบกองทุน!dz64"")"),0)</f>
        <v>0</v>
      </c>
      <c r="J456" s="66">
        <v>0</v>
      </c>
      <c r="K456" s="48">
        <f t="shared" ca="1" si="100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700</v>
      </c>
      <c r="J457" s="226">
        <f>+J466</f>
        <v>76</v>
      </c>
      <c r="K457" s="227">
        <f t="shared" ca="1" si="100"/>
        <v>10.857142857142858</v>
      </c>
      <c r="L457" s="228">
        <f t="shared" ref="L457:M457" ca="1" si="101">SUM(L458:L459)</f>
        <v>120720</v>
      </c>
      <c r="M457" s="228">
        <f t="shared" si="101"/>
        <v>0</v>
      </c>
      <c r="N457" s="228">
        <f t="shared" ref="N457:N461" ca="1" si="102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120720</v>
      </c>
      <c r="M459" s="52">
        <f t="shared" si="103"/>
        <v>0</v>
      </c>
      <c r="N459" s="52">
        <f t="shared" ca="1" si="102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IFERROR(__xludf.DUMMYFUNCTION("IMPORTRANGE(""https://docs.google.com/spreadsheets/d/1C3CXT74ZlgGe6_JY_1olB1XN4rF0dxEuIIF-xsYjHgg/edit?usp=sharing"",""งบกองทุน!Eb64"")"),0)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IFERROR(__xludf.DUMMYFUNCTION("IMPORTRANGE(""https://docs.google.com/spreadsheets/d/1C3CXT74ZlgGe6_JY_1olB1XN4rF0dxEuIIF-xsYjHgg/edit?usp=sharing"",""งบกองทุน!Ec64"")"),120720)</f>
        <v>120720</v>
      </c>
      <c r="M461" s="52">
        <f>SUM(M462:M465)</f>
        <v>0</v>
      </c>
      <c r="N461" s="52">
        <f t="shared" ca="1" si="102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IFERROR(__xludf.DUMMYFUNCTION("IMPORTRANGE(""https://docs.google.com/spreadsheets/d/1C3CXT74ZlgGe6_JY_1olB1XN4rF0dxEuIIF-xsYjHgg/edit?usp=sharing"",""งบกองทุน!Ed64"")"),700)</f>
        <v>700</v>
      </c>
      <c r="J466" s="265">
        <f>+J469+J470+J471+J472</f>
        <v>76</v>
      </c>
      <c r="K466" s="79">
        <f ca="1">IF(I466&gt;0,J466*100/I466,0)</f>
        <v>10.857142857142858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76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0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IFERROR(__xludf.DUMMYFUNCTION("IMPORTRANGE(""https://docs.google.com/spreadsheets/d/1C3CXT74ZlgGe6_JY_1olB1XN4rF0dxEuIIF-xsYjHgg/edit?usp=sharing"",""งบกองทุน!Ek64"")"),0)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IFERROR(__xludf.DUMMYFUNCTION("IMPORTRANGE(""https://docs.google.com/spreadsheets/d/1C3CXT74ZlgGe6_JY_1olB1XN4rF0dxEuIIF-xsYjHgg/edit?usp=sharing"",""งบกองทุน!El64"")"),0)</f>
        <v>0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IFERROR(__xludf.DUMMYFUNCTION("IMPORTRANGE(""https://docs.google.com/spreadsheets/d/1C3CXT74ZlgGe6_JY_1olB1XN4rF0dxEuIIF-xsYjHgg/edit?usp=sharing"",""งบกองทุน!Em64"")"),0)</f>
        <v>0</v>
      </c>
      <c r="J482" s="66">
        <f ca="1">IFERROR(__xludf.DUMMYFUNCTION("IMPORTRANGE(""https://docs.google.com/spreadsheets/d/1AGHcLOeeYFL3K4b9R1dSzyJy00PE_ra89DNTVfnxSWM/edit?usp=sharing"",""รวมที่ชุมชน!G53"")"),0)</f>
        <v>0</v>
      </c>
      <c r="K482" s="48">
        <f t="shared" ref="K482:K489" ca="1" si="107">IF(I482&gt;0,J482*100/I482,0)</f>
        <v>0</v>
      </c>
      <c r="L482" s="60"/>
      <c r="M482" s="52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IFERROR(__xludf.DUMMYFUNCTION("IMPORTRANGE(""https://docs.google.com/spreadsheets/d/1C3CXT74ZlgGe6_JY_1olB1XN4rF0dxEuIIF-xsYjHgg/edit?usp=sharing"",""งบกองทุน!En64"")"),0)</f>
        <v>0</v>
      </c>
      <c r="J483" s="66">
        <f ca="1">IFERROR(__xludf.DUMMYFUNCTION("IMPORTRANGE(""https://docs.google.com/spreadsheets/d/1AGHcLOeeYFL3K4b9R1dSzyJy00PE_ra89DNTVfnxSWM/edit?usp=sharing"",""รวมที่ชุมชน!H53"")"),0)</f>
        <v>0</v>
      </c>
      <c r="K483" s="200">
        <f t="shared" ca="1" si="107"/>
        <v>0</v>
      </c>
      <c r="L483" s="60"/>
      <c r="M483" s="52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IFERROR(__xludf.DUMMYFUNCTION("IMPORTRANGE(""https://docs.google.com/spreadsheets/d/1C3CXT74ZlgGe6_JY_1olB1XN4rF0dxEuIIF-xsYjHgg/edit?usp=sharing"",""งบกองทุน!Eo64"")"),0)</f>
        <v>0</v>
      </c>
      <c r="J484" s="66">
        <f ca="1">IFERROR(__xludf.DUMMYFUNCTION("IMPORTRANGE(""https://docs.google.com/spreadsheets/d/1AGHcLOeeYFL3K4b9R1dSzyJy00PE_ra89DNTVfnxSWM/edit?usp=sharing"",""รวมที่ชุมชน!J53"")"),0)</f>
        <v>0</v>
      </c>
      <c r="K484" s="48">
        <f t="shared" ca="1" si="107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IFERROR(__xludf.DUMMYFUNCTION("IMPORTRANGE(""https://docs.google.com/spreadsheets/d/1C3CXT74ZlgGe6_JY_1olB1XN4rF0dxEuIIF-xsYjHgg/edit?usp=sharing"",""งบกองทุน!Ep64"")"),0)</f>
        <v>0</v>
      </c>
      <c r="J485" s="66">
        <f ca="1">IFERROR(__xludf.DUMMYFUNCTION("IMPORTRANGE(""https://docs.google.com/spreadsheets/d/1AGHcLOeeYFL3K4b9R1dSzyJy00PE_ra89DNTVfnxSWM/edit?usp=sharing"",""รวมที่ชุมชน!L53"")"),0)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IFERROR(__xludf.DUMMYFUNCTION("IMPORTRANGE(""https://docs.google.com/spreadsheets/d/1C3CXT74ZlgGe6_JY_1olB1XN4rF0dxEuIIF-xsYjHgg/edit?usp=sharing"",""งบกองทุน!Eq64"")"),0)</f>
        <v>0</v>
      </c>
      <c r="J486" s="66">
        <f ca="1">IFERROR(__xludf.DUMMYFUNCTION("IMPORTRANGE(""https://docs.google.com/spreadsheets/d/1AGHcLOeeYFL3K4b9R1dSzyJy00PE_ra89DNTVfnxSWM/edit?usp=sharing"",""รวมที่ชุมชน!S53"")"),0)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IFERROR(__xludf.DUMMYFUNCTION("IMPORTRANGE(""https://docs.google.com/spreadsheets/d/1C3CXT74ZlgGe6_JY_1olB1XN4rF0dxEuIIF-xsYjHgg/edit?usp=sharing"",""งบกองทุน!Er64"")"),0)</f>
        <v>0</v>
      </c>
      <c r="J487" s="66">
        <f ca="1">IFERROR(__xludf.DUMMYFUNCTION("IMPORTRANGE(""https://docs.google.com/spreadsheets/d/1AGHcLOeeYFL3K4b9R1dSzyJy00PE_ra89DNTVfnxSWM/edit?usp=sharing"",""รวมที่ชุมชน!U53"")"),0)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IFERROR(__xludf.DUMMYFUNCTION("IMPORTRANGE(""https://docs.google.com/spreadsheets/d/1C3CXT74ZlgGe6_JY_1olB1XN4rF0dxEuIIF-xsYjHgg/edit?usp=sharing"",""งบกองทุน!Es64"")"),0)</f>
        <v>0</v>
      </c>
      <c r="J488" s="66">
        <f ca="1">IFERROR(__xludf.DUMMYFUNCTION("IMPORTRANGE(""https://docs.google.com/spreadsheets/d/1AGHcLOeeYFL3K4b9R1dSzyJy00PE_ra89DNTVfnxSWM/edit?usp=sharing"",""รวมที่ชุมชน!V53"")"),0)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IFERROR(__xludf.DUMMYFUNCTION("IMPORTRANGE(""https://docs.google.com/spreadsheets/d/1C3CXT74ZlgGe6_JY_1olB1XN4rF0dxEuIIF-xsYjHgg/edit?usp=sharing"",""งบกองทุน!Et64"")"),0)</f>
        <v>0</v>
      </c>
      <c r="J489" s="111">
        <f ca="1">IFERROR(__xludf.DUMMYFUNCTION("IMPORTRANGE(""https://docs.google.com/spreadsheets/d/1AGHcLOeeYFL3K4b9R1dSzyJy00PE_ra89DNTVfnxSWM/edit?usp=sharing"",""รวมที่ชุมชน!X53"")"),0)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50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6150</v>
      </c>
      <c r="M490" s="259">
        <f>SUM(M491:M492)</f>
        <v>3400</v>
      </c>
      <c r="N490" s="259">
        <f t="shared" ref="N490:N494" ca="1" si="109">+IF(L490&gt;0,M490*100/L490,0)</f>
        <v>55.284552845528452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6150</v>
      </c>
      <c r="M492" s="52">
        <f t="shared" si="110"/>
        <v>3400</v>
      </c>
      <c r="N492" s="52">
        <f t="shared" ca="1" si="109"/>
        <v>55.284552845528452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IFERROR(__xludf.DUMMYFUNCTION("IMPORTRANGE(""https://docs.google.com/spreadsheets/d/1C3CXT74ZlgGe6_JY_1olB1XN4rF0dxEuIIF-xsYjHgg/edit?usp=sharing"",""งบกองทุน!Ev64"")"),0)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IFERROR(__xludf.DUMMYFUNCTION("IMPORTRANGE(""https://docs.google.com/spreadsheets/d/1C3CXT74ZlgGe6_JY_1olB1XN4rF0dxEuIIF-xsYjHgg/edit?usp=sharing"",""งบกองทุน!Ew64"")"),6150)</f>
        <v>6150</v>
      </c>
      <c r="M494" s="52">
        <f>SUM(M495:M498)</f>
        <v>3400</v>
      </c>
      <c r="N494" s="52">
        <f t="shared" ca="1" si="109"/>
        <v>55.284552845528452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3400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IFERROR(__xludf.DUMMYFUNCTION("IMPORTRANGE(""https://docs.google.com/spreadsheets/d/1C3CXT74ZlgGe6_JY_1olB1XN4rF0dxEuIIF-xsYjHgg/edit?usp=sharing"",""งบกองทุน!EZ64"")"),50)</f>
        <v>50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IFERROR(__xludf.DUMMYFUNCTION("IMPORTRANGE(""https://docs.google.com/spreadsheets/d/1C3CXT74ZlgGe6_JY_1olB1XN4rF0dxEuIIF-xsYjHgg/edit?usp=sharing"",""งบกองทุน!ff64"")"),0)</f>
        <v>0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IFERROR(__xludf.DUMMYFUNCTION("IMPORTRANGE(""https://docs.google.com/spreadsheets/d/1muirlRDkqiswvy_NRZ3Yh955hx-PF6_HhssUYiSJj8o/edit?usp=sharing"",""กองทุน!D64"")"),2500000)</f>
        <v>2500000</v>
      </c>
      <c r="J521" s="199">
        <f ca="1">IFERROR(__xludf.DUMMYFUNCTION("IMPORTRANGE(""https://docs.google.com/spreadsheets/d/1muirlRDkqiswvy_NRZ3Yh955hx-PF6_HhssUYiSJj8o/edit?usp=sharing"",""กองทุน!F64"")"),0)</f>
        <v>0</v>
      </c>
      <c r="K521" s="200">
        <f t="shared" ref="K521:K528" ca="1" si="116">IF(I521&gt;0,J521*100/I521,0)</f>
        <v>0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IFERROR(__xludf.DUMMYFUNCTION("IMPORTRANGE(""https://docs.google.com/spreadsheets/d/1muirlRDkqiswvy_NRZ3Yh955hx-PF6_HhssUYiSJj8o/edit?usp=sharing"",""กองทุน!C64"")"),117)</f>
        <v>117</v>
      </c>
      <c r="J522" s="199">
        <f ca="1">IFERROR(__xludf.DUMMYFUNCTION("IMPORTRANGE(""https://docs.google.com/spreadsheets/d/1muirlRDkqiswvy_NRZ3Yh955hx-PF6_HhssUYiSJj8o/edit?usp=sharing"",""กองทุน!E64"")"),0)</f>
        <v>0</v>
      </c>
      <c r="K522" s="200">
        <f t="shared" ca="1" si="116"/>
        <v>0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IFERROR(__xludf.DUMMYFUNCTION("IMPORTRANGE(""https://docs.google.com/spreadsheets/d/1muirlRDkqiswvy_NRZ3Yh955hx-PF6_HhssUYiSJj8o/edit?usp=sharing"",""กองทุน!I64"")"),1746021.08)</f>
        <v>1746021.08</v>
      </c>
      <c r="J523" s="199">
        <f ca="1">IFERROR(__xludf.DUMMYFUNCTION("IMPORTRANGE(""https://docs.google.com/spreadsheets/d/1muirlRDkqiswvy_NRZ3Yh955hx-PF6_HhssUYiSJj8o/edit?usp=sharing"",""กองทุน!K64"")"),81102.62)</f>
        <v>81102.62</v>
      </c>
      <c r="K523" s="200">
        <f t="shared" ca="1" si="116"/>
        <v>4.6449966113811181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IFERROR(__xludf.DUMMYFUNCTION("IMPORTRANGE(""https://docs.google.com/spreadsheets/d/1muirlRDkqiswvy_NRZ3Yh955hx-PF6_HhssUYiSJj8o/edit?usp=sharing"",""กองทุน!H64"")"),45)</f>
        <v>45</v>
      </c>
      <c r="J524" s="199">
        <f ca="1">IFERROR(__xludf.DUMMYFUNCTION("IMPORTRANGE(""https://docs.google.com/spreadsheets/d/1muirlRDkqiswvy_NRZ3Yh955hx-PF6_HhssUYiSJj8o/edit?usp=sharing"",""กองทุน!J64"")"),9)</f>
        <v>9</v>
      </c>
      <c r="K524" s="200">
        <f t="shared" ca="1" si="116"/>
        <v>20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IFERROR(__xludf.DUMMYFUNCTION("IMPORTRANGE(""https://docs.google.com/spreadsheets/d/1muirlRDkqiswvy_NRZ3Yh955hx-PF6_HhssUYiSJj8o/edit?usp=sharing"",""กองทุน!N64"")"),0)</f>
        <v>0</v>
      </c>
      <c r="J525" s="199">
        <f ca="1">IFERROR(__xludf.DUMMYFUNCTION("IMPORTRANGE(""https://docs.google.com/spreadsheets/d/1muirlRDkqiswvy_NRZ3Yh955hx-PF6_HhssUYiSJj8o/edit?usp=sharing"",""กองทุน!P64"")"),0)</f>
        <v>0</v>
      </c>
      <c r="K525" s="200">
        <f t="shared" ca="1" si="116"/>
        <v>0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IFERROR(__xludf.DUMMYFUNCTION("IMPORTRANGE(""https://docs.google.com/spreadsheets/d/1muirlRDkqiswvy_NRZ3Yh955hx-PF6_HhssUYiSJj8o/edit?usp=sharing"",""กองทุน!M64"")"),0)</f>
        <v>0</v>
      </c>
      <c r="J526" s="199">
        <f ca="1">IFERROR(__xludf.DUMMYFUNCTION("IMPORTRANGE(""https://docs.google.com/spreadsheets/d/1muirlRDkqiswvy_NRZ3Yh955hx-PF6_HhssUYiSJj8o/edit?usp=sharing"",""กองทุน!O64"")"),0)</f>
        <v>0</v>
      </c>
      <c r="K526" s="200">
        <f t="shared" ca="1" si="116"/>
        <v>0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IFERROR(__xludf.DUMMYFUNCTION("IMPORTRANGE(""https://docs.google.com/spreadsheets/d/1muirlRDkqiswvy_NRZ3Yh955hx-PF6_HhssUYiSJj8o/edit?usp=sharing"",""กองทุน!S64"")"),2000000)</f>
        <v>2000000</v>
      </c>
      <c r="J527" s="199">
        <f ca="1">IFERROR(__xludf.DUMMYFUNCTION("IMPORTRANGE(""https://docs.google.com/spreadsheets/d/1muirlRDkqiswvy_NRZ3Yh955hx-PF6_HhssUYiSJj8o/edit?usp=sharing"",""กองทุน!U64"")"),0)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IFERROR(__xludf.DUMMYFUNCTION("IMPORTRANGE(""https://docs.google.com/spreadsheets/d/1muirlRDkqiswvy_NRZ3Yh955hx-PF6_HhssUYiSJj8o/edit?usp=sharing"",""กองทุน!R64"")"),117)</f>
        <v>117</v>
      </c>
      <c r="J528" s="324">
        <f ca="1">IFERROR(__xludf.DUMMYFUNCTION("IMPORTRANGE(""https://docs.google.com/spreadsheets/d/1muirlRDkqiswvy_NRZ3Yh955hx-PF6_HhssUYiSJj8o/edit?usp=sharing"",""กองทุน!T64"")"),0)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A5" sqref="A5:G5"/>
      <selection pane="bottomLeft" activeCell="A5" sqref="A5:G5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68" t="s">
        <v>0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</row>
    <row r="2" spans="1:14" ht="18" customHeight="1" x14ac:dyDescent="0.55000000000000004">
      <c r="A2" s="368" t="s">
        <v>228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</row>
    <row r="3" spans="1:14" ht="18" customHeight="1" x14ac:dyDescent="0.55000000000000004">
      <c r="A3" s="368" t="s">
        <v>247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70" t="s">
        <v>4</v>
      </c>
      <c r="B5" s="371"/>
      <c r="C5" s="371"/>
      <c r="D5" s="371"/>
      <c r="E5" s="371"/>
      <c r="F5" s="371"/>
      <c r="G5" s="372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1336380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IFERROR(__xludf.DUMMYFUNCTION("IMPORTRANGE(""https://docs.google.com/spreadsheets/d/1C3CXT74ZlgGe6_JY_1olB1XN4rF0dxEuIIF-xsYjHgg/edit?usp=sharing"",""พรบ!C65"")"),0)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66"/>
      <c r="J13" s="66"/>
      <c r="K13" s="232"/>
      <c r="L13" s="52">
        <f ca="1">IFERROR(__xludf.DUMMYFUNCTION("IMPORTRANGE(""https://docs.google.com/spreadsheets/d/1C3CXT74ZlgGe6_JY_1olB1XN4rF0dxEuIIF-xsYjHgg/edit?usp=sharing"",""พรบ!D65"")"),0)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66"/>
      <c r="J14" s="66"/>
      <c r="K14" s="232"/>
      <c r="L14" s="52">
        <f ca="1">IFERROR(__xludf.DUMMYFUNCTION("IMPORTRANGE(""https://docs.google.com/spreadsheets/d/1C3CXT74ZlgGe6_JY_1olB1XN4rF0dxEuIIF-xsYjHgg/edit?usp=sharing"",""พรบ!E65"")"),0)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66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28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66">
        <f ca="1">IFERROR(__xludf.DUMMYFUNCTION("IMPORTRANGE(""https://docs.google.com/spreadsheets/d/1C3CXT74ZlgGe6_JY_1olB1XN4rF0dxEuIIF-xsYjHgg/edit?usp=sharing"",""พรบ!H65"")"),0)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66">
        <f ca="1">IFERROR(__xludf.DUMMYFUNCTION("IMPORTRANGE(""https://docs.google.com/spreadsheets/d/1C3CXT74ZlgGe6_JY_1olB1XN4rF0dxEuIIF-xsYjHgg/edit?usp=sharing"",""พรบ!I65"")"),0)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66">
        <f ca="1">IFERROR(__xludf.DUMMYFUNCTION("IMPORTRANGE(""https://docs.google.com/spreadsheets/d/1C3CXT74ZlgGe6_JY_1olB1XN4rF0dxEuIIF-xsYjHgg/edit?usp=sharing"",""พรบ!J65"")"),0)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66">
        <f ca="1">IFERROR(__xludf.DUMMYFUNCTION("IMPORTRANGE(""https://docs.google.com/spreadsheets/d/1C3CXT74ZlgGe6_JY_1olB1XN4rF0dxEuIIF-xsYjHgg/edit?usp=sharing"",""พรบ!K65"")"),0)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66">
        <f ca="1">IFERROR(__xludf.DUMMYFUNCTION("IMPORTRANGE(""https://docs.google.com/spreadsheets/d/1C3CXT74ZlgGe6_JY_1olB1XN4rF0dxEuIIF-xsYjHgg/edit?usp=sharing"",""พรบ!L65"")"),0)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66">
        <f ca="1">IFERROR(__xludf.DUMMYFUNCTION("IMPORTRANGE(""https://docs.google.com/spreadsheets/d/1C3CXT74ZlgGe6_JY_1olB1XN4rF0dxEuIIF-xsYjHgg/edit?usp=sharing"",""พรบ!M65"")"),0)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66">
        <f ca="1">IFERROR(__xludf.DUMMYFUNCTION("IMPORTRANGE(""https://docs.google.com/spreadsheets/d/1C3CXT74ZlgGe6_JY_1olB1XN4rF0dxEuIIF-xsYjHgg/edit?usp=sharing"",""พรบ!N65"")"),0)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6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IFERROR(__xludf.DUMMYFUNCTION("IMPORTRANGE(""https://docs.google.com/spreadsheets/d/1C3CXT74ZlgGe6_JY_1olB1XN4rF0dxEuIIF-xsYjHgg/edit?usp=sharing"",""พรบ!O65"")"),0)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IFERROR(__xludf.DUMMYFUNCTION("IMPORTRANGE(""https://docs.google.com/spreadsheets/d/1C3CXT74ZlgGe6_JY_1olB1XN4rF0dxEuIIF-xsYjHgg/edit?usp=sharing"",""พรบ!P65"")"),0)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IFERROR(__xludf.DUMMYFUNCTION("IMPORTRANGE(""https://docs.google.com/spreadsheets/d/1C3CXT74ZlgGe6_JY_1olB1XN4rF0dxEuIIF-xsYjHgg/edit?usp=sharing"",""พรบ!Q65"")"),0)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IFERROR(__xludf.DUMMYFUNCTION("IMPORTRANGE(""https://docs.google.com/spreadsheets/d/1C3CXT74ZlgGe6_JY_1olB1XN4rF0dxEuIIF-xsYjHgg/edit?usp=sharing"",""พรบ!R65"")"),0)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IFERROR(__xludf.DUMMYFUNCTION("IMPORTRANGE(""https://docs.google.com/spreadsheets/d/1C3CXT74ZlgGe6_JY_1olB1XN4rF0dxEuIIF-xsYjHgg/edit?usp=sharing"",""พรบ!S65"")"),0)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IFERROR(__xludf.DUMMYFUNCTION("IMPORTRANGE(""https://docs.google.com/spreadsheets/d/1C3CXT74ZlgGe6_JY_1olB1XN4rF0dxEuIIF-xsYjHgg/edit?usp=sharing"",""พรบ!T65"")"),0)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IFERROR(__xludf.DUMMYFUNCTION("IMPORTRANGE(""https://docs.google.com/spreadsheets/d/1C3CXT74ZlgGe6_JY_1olB1XN4rF0dxEuIIF-xsYjHgg/edit?usp=sharing"",""พรบ!U65"")"),0)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IFERROR(__xludf.DUMMYFUNCTION("IMPORTRANGE(""https://docs.google.com/spreadsheets/d/1C3CXT74ZlgGe6_JY_1olB1XN4rF0dxEuIIF-xsYjHgg/edit?usp=sharing"",""พรบ!V65"")"),0)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IFERROR(__xludf.DUMMYFUNCTION("IMPORTRANGE(""https://docs.google.com/spreadsheets/d/1C3CXT74ZlgGe6_JY_1olB1XN4rF0dxEuIIF-xsYjHgg/edit?usp=sharing"",""พรบ!W65"")"),0)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6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IFERROR(__xludf.DUMMYFUNCTION("IMPORTRANGE(""https://docs.google.com/spreadsheets/d/1C3CXT74ZlgGe6_JY_1olB1XN4rF0dxEuIIF-xsYjHgg/edit?usp=sharing"",""พรบ!Y65"")"),0)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IFERROR(__xludf.DUMMYFUNCTION("IMPORTRANGE(""https://docs.google.com/spreadsheets/d/1C3CXT74ZlgGe6_JY_1olB1XN4rF0dxEuIIF-xsYjHgg/edit?usp=sharing"",""พรบ!Z65"")"),0)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246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IFERROR(__xludf.DUMMYFUNCTION("IMPORTRANGE(""https://docs.google.com/spreadsheets/d/1C3CXT74ZlgGe6_JY_1olB1XN4rF0dxEuIIF-xsYjHgg/edit?usp=sharing"",""พรบ!AA65"")"),0)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7">
        <v>0</v>
      </c>
      <c r="K65" s="358"/>
      <c r="L65" s="359"/>
      <c r="M65" s="359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20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569800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569800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IFERROR(__xludf.DUMMYFUNCTION("IMPORTRANGE(""https://docs.google.com/spreadsheets/d/1C3CXT74ZlgGe6_JY_1olB1XN4rF0dxEuIIF-xsYjHgg/edit?usp=sharing"",""พรบ!AD65"")"),305000)</f>
        <v>305000</v>
      </c>
      <c r="M72" s="53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264800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IFERROR(__xludf.DUMMYFUNCTION("IMPORTRANGE(""https://docs.google.com/spreadsheets/d/1C3CXT74ZlgGe6_JY_1olB1XN4rF0dxEuIIF-xsYjHgg/edit?usp=sharing"",""พรบ!AF65"")"),7500)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IFERROR(__xludf.DUMMYFUNCTION("IMPORTRANGE(""https://docs.google.com/spreadsheets/d/1C3CXT74ZlgGe6_JY_1olB1XN4rF0dxEuIIF-xsYjHgg/edit?usp=sharing"",""พรบ!AG65"")"),4)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3</v>
      </c>
      <c r="J89" s="149">
        <f t="shared" si="21"/>
        <v>0</v>
      </c>
      <c r="K89" s="150">
        <f ca="1">IF(I89&gt;0,J89*100/I89,0)</f>
        <v>0</v>
      </c>
      <c r="L89" s="147">
        <f ca="1">L90+L91</f>
        <v>42000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42000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IFERROR(__xludf.DUMMYFUNCTION("IMPORTRANGE(""https://docs.google.com/spreadsheets/d/1C3CXT74ZlgGe6_JY_1olB1XN4rF0dxEuIIF-xsYjHgg/edit?usp=sharing"",""พรบ!AH65"")"),42000)</f>
        <v>42000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IFERROR(__xludf.DUMMYFUNCTION("IMPORTRANGE(""https://docs.google.com/spreadsheets/d/1C3CXT74ZlgGe6_JY_1olB1XN4rF0dxEuIIF-xsYjHgg/edit?usp=sharing"",""พรบ!AI65"")"),3)</f>
        <v>3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IFERROR(__xludf.DUMMYFUNCTION("IMPORTRANGE(""https://docs.google.com/spreadsheets/d/1C3CXT74ZlgGe6_JY_1olB1XN4rF0dxEuIIF-xsYjHgg/edit?usp=sharing"",""กปร!C65"")"),36000)</f>
        <v>36000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IFERROR(__xludf.DUMMYFUNCTION("IMPORTRANGE(""https://docs.google.com/spreadsheets/d/1C3CXT74ZlgGe6_JY_1olB1XN4rF0dxEuIIF-xsYjHgg/edit?usp=sharing"",""พรบ!AJ65"")"),0)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IFERROR(__xludf.DUMMYFUNCTION("IMPORTRANGE(""https://docs.google.com/spreadsheets/d/1C3CXT74ZlgGe6_JY_1olB1XN4rF0dxEuIIF-xsYjHgg/edit?usp=sharing"",""พรบ!AK65"")"),0)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IFERROR(__xludf.DUMMYFUNCTION("IMPORTRANGE(""https://docs.google.com/spreadsheets/d/1C3CXT74ZlgGe6_JY_1olB1XN4rF0dxEuIIF-xsYjHgg/edit?usp=sharing"",""กปร!D65"")"),0)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IFERROR(__xludf.DUMMYFUNCTION("IMPORTRANGE(""https://docs.google.com/spreadsheets/d/1C3CXT74ZlgGe6_JY_1olB1XN4rF0dxEuIIF-xsYjHgg/edit?usp=sharing"",""พรบ!AL65"")"),0)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IFERROR(__xludf.DUMMYFUNCTION("IMPORTRANGE(""https://docs.google.com/spreadsheets/d/1C3CXT74ZlgGe6_JY_1olB1XN4rF0dxEuIIF-xsYjHgg/edit?usp=sharing"",""กปร!E65"")"),0)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6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30000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14500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14500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IFERROR(__xludf.DUMMYFUNCTION("IMPORTRANGE(""https://docs.google.com/spreadsheets/d/1C3CXT74ZlgGe6_JY_1olB1XN4rF0dxEuIIF-xsYjHgg/edit?usp=sharing"",""พรบ!AM65"")"),14500)</f>
        <v>14500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IFERROR(__xludf.DUMMYFUNCTION("IMPORTRANGE(""https://docs.google.com/spreadsheets/d/1C3CXT74ZlgGe6_JY_1olB1XN4rF0dxEuIIF-xsYjHgg/edit?usp=sharing"",""พรบ!AO65"")"),30000)</f>
        <v>30000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IFERROR(__xludf.DUMMYFUNCTION("IMPORTRANGE(""https://docs.google.com/spreadsheets/d/1C3CXT74ZlgGe6_JY_1olB1XN4rF0dxEuIIF-xsYjHgg/edit?usp=sharing"",""พรบ!AP65"")"),30000)</f>
        <v>30000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IFERROR(__xludf.DUMMYFUNCTION("IMPORTRANGE(""https://docs.google.com/spreadsheets/d/1C3CXT74ZlgGe6_JY_1olB1XN4rF0dxEuIIF-xsYjHgg/edit?usp=sharing"",""กปร!F65"")"),8500)</f>
        <v>8500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IFERROR(__xludf.DUMMYFUNCTION("IMPORTRANGE(""https://docs.google.com/spreadsheets/d/1C3CXT74ZlgGe6_JY_1olB1XN4rF0dxEuIIF-xsYjHgg/edit?usp=sharing"",""พรบ!AQ65"")"),0)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IFERROR(__xludf.DUMMYFUNCTION("IMPORTRANGE(""https://docs.google.com/spreadsheets/d/1C3CXT74ZlgGe6_JY_1olB1XN4rF0dxEuIIF-xsYjHgg/edit?usp=sharing"",""กปร!G65"")"),0)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229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20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200800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200800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47"/>
      <c r="K132" s="48"/>
      <c r="L132" s="52">
        <f ca="1">IFERROR(__xludf.DUMMYFUNCTION("IMPORTRANGE(""https://docs.google.com/spreadsheets/d/1C3CXT74ZlgGe6_JY_1olB1XN4rF0dxEuIIF-xsYjHgg/edit?usp=sharing"",""พรบ!AR65"")"),200800)</f>
        <v>200800</v>
      </c>
      <c r="M132" s="53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47"/>
      <c r="K133" s="48"/>
      <c r="L133" s="60"/>
      <c r="M133" s="60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7">
        <v>0</v>
      </c>
      <c r="K134" s="48"/>
      <c r="L134" s="60"/>
      <c r="M134" s="60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7">
        <v>0</v>
      </c>
      <c r="K135" s="48"/>
      <c r="L135" s="60" t="s">
        <v>21</v>
      </c>
      <c r="M135" s="60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7">
        <v>0</v>
      </c>
      <c r="K136" s="48"/>
      <c r="L136" s="60"/>
      <c r="M136" s="60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7">
        <v>0</v>
      </c>
      <c r="K137" s="48"/>
      <c r="L137" s="60"/>
      <c r="M137" s="60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IFERROR(__xludf.DUMMYFUNCTION("IMPORTRANGE(""https://docs.google.com/spreadsheets/d/1C3CXT74ZlgGe6_JY_1olB1XN4rF0dxEuIIF-xsYjHgg/edit?usp=sharing"",""พรบ!AS65"")"),20)</f>
        <v>20</v>
      </c>
      <c r="J138" s="67">
        <v>0</v>
      </c>
      <c r="K138" s="48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IFERROR(__xludf.DUMMYFUNCTION("IMPORTRANGE(""https://docs.google.com/spreadsheets/d/1C3CXT74ZlgGe6_JY_1olB1XN4rF0dxEuIIF-xsYjHgg/edit?usp=sharing"",""กปร!H65"")"),29800)</f>
        <v>29800</v>
      </c>
      <c r="M138" s="361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48"/>
      <c r="L139" s="60"/>
      <c r="M139" s="60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IFERROR(__xludf.DUMMYFUNCTION("IMPORTRANGE(""https://docs.google.com/spreadsheets/d/1C3CXT74ZlgGe6_JY_1olB1XN4rF0dxEuIIF-xsYjHgg/edit?usp=sharing"",""พรบ!AT65"")"),1)</f>
        <v>1</v>
      </c>
      <c r="J140" s="66">
        <v>0</v>
      </c>
      <c r="K140" s="48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IFERROR(__xludf.DUMMYFUNCTION("IMPORTRANGE(""https://docs.google.com/spreadsheets/d/1C3CXT74ZlgGe6_JY_1olB1XN4rF0dxEuIIF-xsYjHgg/edit?usp=sharing"",""กปร!I65"")"),0)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IFERROR(__xludf.DUMMYFUNCTION("IMPORTRANGE(""https://docs.google.com/spreadsheets/d/1C3CXT74ZlgGe6_JY_1olB1XN4rF0dxEuIIF-xsYjHgg/edit?usp=sharing"",""พรบ!AU65"")"),0)</f>
        <v>0</v>
      </c>
      <c r="J141" s="67">
        <v>0</v>
      </c>
      <c r="K141" s="48">
        <f t="shared" ca="1" si="34"/>
        <v>0</v>
      </c>
      <c r="L141" s="52">
        <f ca="1">IFERROR(__xludf.DUMMYFUNCTION("IMPORTRANGE(""https://docs.google.com/spreadsheets/d/1C3CXT74ZlgGe6_JY_1olB1XN4rF0dxEuIIF-xsYjHgg/edit?usp=sharing"",""กปร!J65"")"),10000)</f>
        <v>10000</v>
      </c>
      <c r="M141" s="361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7">
        <v>0</v>
      </c>
      <c r="K142" s="48"/>
      <c r="L142" s="60"/>
      <c r="M142" s="60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112">
        <v>0</v>
      </c>
      <c r="K143" s="113"/>
      <c r="L143" s="114"/>
      <c r="M143" s="114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0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0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0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IFERROR(__xludf.DUMMYFUNCTION("IMPORTRANGE(""https://docs.google.com/spreadsheets/d/1C3CXT74ZlgGe6_JY_1olB1XN4rF0dxEuIIF-xsYjHgg/edit?usp=sharing"",""พรบ!AY65"")"),0)</f>
        <v>0</v>
      </c>
      <c r="M148" s="52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0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66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6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6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6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6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IFERROR(__xludf.DUMMYFUNCTION("IMPORTRANGE(""https://docs.google.com/spreadsheets/d/1C3CXT74ZlgGe6_JY_1olB1XN4rF0dxEuIIF-xsYjHgg/edit?usp=sharing"",""พรบ!BA65"")"),0)</f>
        <v>0</v>
      </c>
      <c r="J155" s="66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6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356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66"/>
      <c r="K172" s="232"/>
      <c r="L172" s="52">
        <f ca="1">IFERROR(__xludf.DUMMYFUNCTION("IMPORTRANGE(""https://docs.google.com/spreadsheets/d/1C3CXT74ZlgGe6_JY_1olB1XN4rF0dxEuIIF-xsYjHgg/edit?usp=sharing"",""พรบ!BD65"")"),0)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66"/>
      <c r="K173" s="232"/>
      <c r="L173" s="52">
        <f ca="1">IFERROR(__xludf.DUMMYFUNCTION("IMPORTRANGE(""https://docs.google.com/spreadsheets/d/1C3CXT74ZlgGe6_JY_1olB1XN4rF0dxEuIIF-xsYjHgg/edit?usp=sharing"",""พรบ!BE65"")"),0)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IFERROR(__xludf.DUMMYFUNCTION("IMPORTRANGE(""https://docs.google.com/spreadsheets/d/1C3CXT74ZlgGe6_JY_1olB1XN4rF0dxEuIIF-xsYjHgg/edit?usp=sharing"",""พรบ!BF65"")"),0)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IFERROR(__xludf.DUMMYFUNCTION("IMPORTRANGE(""https://docs.google.com/spreadsheets/d/1C3CXT74ZlgGe6_JY_1olB1XN4rF0dxEuIIF-xsYjHgg/edit?usp=sharing"",""พรบ!BG65"")"),0)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IFERROR(__xludf.DUMMYFUNCTION("IMPORTRANGE(""https://docs.google.com/spreadsheets/d/1C3CXT74ZlgGe6_JY_1olB1XN4rF0dxEuIIF-xsYjHgg/edit?usp=sharing"",""พรบ!BH65"")"),0)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IFERROR(__xludf.DUMMYFUNCTION("IMPORTRANGE(""https://docs.google.com/spreadsheets/d/1C3CXT74ZlgGe6_JY_1olB1XN4rF0dxEuIIF-xsYjHgg/edit?usp=sharing"",""พรบ!BI65"")"),0)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7">
        <v>0</v>
      </c>
      <c r="K184" s="358"/>
      <c r="L184" s="359"/>
      <c r="M184" s="359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15</v>
      </c>
      <c r="J185" s="177">
        <f>+J195</f>
        <v>0</v>
      </c>
      <c r="K185" s="178">
        <f ca="1">IF(I185&gt;0,J185*100/I185,0)</f>
        <v>0</v>
      </c>
      <c r="L185" s="179">
        <f ca="1">L186+L187</f>
        <v>55200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55200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IFERROR(__xludf.DUMMYFUNCTION("IMPORTRANGE(""https://docs.google.com/spreadsheets/d/1C3CXT74ZlgGe6_JY_1olB1XN4rF0dxEuIIF-xsYjHgg/edit?usp=sharing"",""พรบ!BK65"")"),0)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IFERROR(__xludf.DUMMYFUNCTION("IMPORTRANGE(""https://docs.google.com/spreadsheets/d/1C3CXT74ZlgGe6_JY_1olB1XN4rF0dxEuIIF-xsYjHgg/edit?usp=sharing"",""พรบ!BL65"")"),55200)</f>
        <v>55200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0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0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IFERROR(__xludf.DUMMYFUNCTION("IMPORTRANGE(""https://docs.google.com/spreadsheets/d/1C3CXT74ZlgGe6_JY_1olB1XN4rF0dxEuIIF-xsYjHgg/edit?usp=sharing"",""พรบ!BM65"")"),15)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IFERROR(__xludf.DUMMYFUNCTION("IMPORTRANGE(""https://docs.google.com/spreadsheets/d/1C3CXT74ZlgGe6_JY_1olB1XN4rF0dxEuIIF-xsYjHgg/edit?usp=sharing"",""พรบ!BP65"")"),0)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IFERROR(__xludf.DUMMYFUNCTION("IMPORTRANGE(""https://docs.google.com/spreadsheets/d/1C3CXT74ZlgGe6_JY_1olB1XN4rF0dxEuIIF-xsYjHgg/edit?usp=sharing"",""พรบ!BQ65"")"),0)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IFERROR(__xludf.DUMMYFUNCTION("IMPORTRANGE(""https://docs.google.com/spreadsheets/d/1C3CXT74ZlgGe6_JY_1olB1XN4rF0dxEuIIF-xsYjHgg/edit?usp=sharing"",""พรบ!BR65"")"),0)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66"/>
      <c r="K215" s="232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66"/>
      <c r="K216" s="232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66"/>
      <c r="K217" s="232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IFERROR(__xludf.DUMMYFUNCTION("IMPORTRANGE(""https://docs.google.com/spreadsheets/d/1C3CXT74ZlgGe6_JY_1olB1XN4rF0dxEuIIF-xsYjHgg/edit?usp=sharing"",""พรบ!BU65"")"),0)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52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52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52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52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52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IFERROR(__xludf.DUMMYFUNCTION("IMPORTRANGE(""https://docs.google.com/spreadsheets/d/1C3CXT74ZlgGe6_JY_1olB1XN4rF0dxEuIIF-xsYjHgg/edit?usp=sharing"",""พรบ!BV65"")"),0)</f>
        <v>0</v>
      </c>
      <c r="J224" s="66">
        <v>0</v>
      </c>
      <c r="K224" s="232">
        <f ca="1">IF(I224&gt;0,J224*100/I224,0)</f>
        <v>0</v>
      </c>
      <c r="L224" s="52"/>
      <c r="M224" s="52"/>
      <c r="N224" s="52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52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52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0</v>
      </c>
      <c r="J228" s="197">
        <f ca="1">J240</f>
        <v>0</v>
      </c>
      <c r="K228" s="178">
        <f ca="1">IF(I228&gt;0,J228*100/I228,0)</f>
        <v>0</v>
      </c>
      <c r="L228" s="179">
        <f ca="1">L229+L230</f>
        <v>711380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711380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IFERROR(__xludf.DUMMYFUNCTION("IMPORTRANGE(""https://docs.google.com/spreadsheets/d/1C3CXT74ZlgGe6_JY_1olB1XN4rF0dxEuIIF-xsYjHgg/edit?usp=sharing"",""พรบ!BX65"")"),529200)</f>
        <v>529200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IFERROR(__xludf.DUMMYFUNCTION("IMPORTRANGE(""https://docs.google.com/spreadsheets/d/1C3CXT74ZlgGe6_JY_1olB1XN4rF0dxEuIIF-xsYjHgg/edit?usp=sharing"",""พรบ!BY65"")"),182180)</f>
        <v>182180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IFERROR(__xludf.DUMMYFUNCTION("IMPORTRANGE(""https://docs.google.com/spreadsheets/d/1AGHcLOeeYFL3K4b9R1dSzyJy00PE_ra89DNTVfnxSWM/edit?usp=sharing"",""รวมที่ทำกิน!J54"")"),0)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IFERROR(__xludf.DUMMYFUNCTION("IMPORTRANGE(""https://docs.google.com/spreadsheets/d/1C3CXT74ZlgGe6_JY_1olB1XN4rF0dxEuIIF-xsYjHgg/edit?usp=sharing"",""พรบ!BZ65"")"),0)</f>
        <v>0</v>
      </c>
      <c r="J235" s="66">
        <f ca="1">IFERROR(__xludf.DUMMYFUNCTION("IMPORTRANGE(""https://docs.google.com/spreadsheets/d/1AGHcLOeeYFL3K4b9R1dSzyJy00PE_ra89DNTVfnxSWM/edit?usp=sharing"",""รวมที่ทำกิน!L54"")"),0)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IFERROR(__xludf.DUMMYFUNCTION("IMPORTRANGE(""https://docs.google.com/spreadsheets/d/1C3CXT74ZlgGe6_JY_1olB1XN4rF0dxEuIIF-xsYjHgg/edit?usp=sharing"",""พรบ!CA65"")"),0)</f>
        <v>0</v>
      </c>
      <c r="J236" s="66">
        <f ca="1">IFERROR(__xludf.DUMMYFUNCTION("IMPORTRANGE(""https://docs.google.com/spreadsheets/d/1AGHcLOeeYFL3K4b9R1dSzyJy00PE_ra89DNTVfnxSWM/edit?usp=sharing"",""รวมที่ทำกิน!O54"")"),0)</f>
        <v>0</v>
      </c>
      <c r="K236" s="200">
        <f t="shared" ca="1" si="52"/>
        <v>0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IFERROR(__xludf.DUMMYFUNCTION("IMPORTRANGE(""https://docs.google.com/spreadsheets/d/1AGHcLOeeYFL3K4b9R1dSzyJy00PE_ra89DNTVfnxSWM/edit?usp=sharing"",""รวมที่ทำกิน!Q54"")"),0)</f>
        <v>0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IFERROR(__xludf.DUMMYFUNCTION("IMPORTRANGE(""https://docs.google.com/spreadsheets/d/1C3CXT74ZlgGe6_JY_1olB1XN4rF0dxEuIIF-xsYjHgg/edit?usp=sharing"",""พรบ!CB65"")"),0)</f>
        <v>0</v>
      </c>
      <c r="J238" s="66">
        <f ca="1">IFERROR(__xludf.DUMMYFUNCTION("IMPORTRANGE(""https://docs.google.com/spreadsheets/d/1AGHcLOeeYFL3K4b9R1dSzyJy00PE_ra89DNTVfnxSWM/edit?usp=sharing"",""รวมที่ทำกิน!S54"")"),0)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IFERROR(__xludf.DUMMYFUNCTION("IMPORTRANGE(""https://docs.google.com/spreadsheets/d/1AGHcLOeeYFL3K4b9R1dSzyJy00PE_ra89DNTVfnxSWM/edit?usp=sharing"",""รวมที่ทำกิน!U54"")"),0)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IFERROR(__xludf.DUMMYFUNCTION("IMPORTRANGE(""https://docs.google.com/spreadsheets/d/1C3CXT74ZlgGe6_JY_1olB1XN4rF0dxEuIIF-xsYjHgg/edit?usp=sharing"",""พรบ!CC65"")"),0)</f>
        <v>0</v>
      </c>
      <c r="J240" s="66">
        <f ca="1">IFERROR(__xludf.DUMMYFUNCTION("IMPORTRANGE(""https://docs.google.com/spreadsheets/d/1AGHcLOeeYFL3K4b9R1dSzyJy00PE_ra89DNTVfnxSWM/edit?usp=sharing"",""รวมที่ทำกิน!W54"")"),0)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IFERROR(__xludf.DUMMYFUNCTION("IMPORTRANGE(""https://docs.google.com/spreadsheets/d/1AGHcLOeeYFL3K4b9R1dSzyJy00PE_ra89DNTVfnxSWM/edit?usp=sharing"",""รวมที่ทำกิน!Y54"")"),0)</f>
        <v>0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781810</v>
      </c>
      <c r="M242" s="213">
        <f t="shared" si="53"/>
        <v>0</v>
      </c>
      <c r="N242" s="213">
        <f ca="1">+IF(L242&gt;0,M242*100/L242,0)</f>
        <v>0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25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78920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15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78920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IFERROR(__xludf.DUMMYFUNCTION("IMPORTRANGE(""https://docs.google.com/spreadsheets/d/1C3CXT74ZlgGe6_JY_1olB1XN4rF0dxEuIIF-xsYjHgg/edit?usp=sharing"",""งบกองทุน!d65"")"),0)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IFERROR(__xludf.DUMMYFUNCTION("IMPORTRANGE(""https://docs.google.com/spreadsheets/d/1C3CXT74ZlgGe6_JY_1olB1XN4rF0dxEuIIF-xsYjHgg/edit?usp=sharing"",""งบกองทุน!e65"")"),78920)</f>
        <v>78920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0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0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IFERROR(__xludf.DUMMYFUNCTION("IMPORTRANGE(""https://docs.google.com/spreadsheets/d/1C3CXT74ZlgGe6_JY_1olB1XN4rF0dxEuIIF-xsYjHgg/edit?usp=sharing"",""งบกองทุน!f65"")"),0)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25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IFERROR(__xludf.DUMMYFUNCTION("IMPORTRANGE(""https://docs.google.com/spreadsheets/d/1C3CXT74ZlgGe6_JY_1olB1XN4rF0dxEuIIF-xsYjHgg/edit?usp=sharing"",""งบกองทุน!H65"")"),15)</f>
        <v>15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IFERROR(__xludf.DUMMYFUNCTION("IMPORTRANGE(""https://docs.google.com/spreadsheets/d/1C3CXT74ZlgGe6_JY_1olB1XN4rF0dxEuIIF-xsYjHgg/edit?usp=sharing"",""งบกองทุน!i65"")"),5)</f>
        <v>5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15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IFERROR(__xludf.DUMMYFUNCTION("IMPORTRANGE(""https://docs.google.com/spreadsheets/d/1C3CXT74ZlgGe6_JY_1olB1XN4rF0dxEuIIF-xsYjHgg/edit?usp=sharing"",""งบกองทุน!k65"")"),20)</f>
        <v>20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15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IFERROR(__xludf.DUMMYFUNCTION("IMPORTRANGE(""https://docs.google.com/spreadsheets/d/1C3CXT74ZlgGe6_JY_1olB1XN4rF0dxEuIIF-xsYjHgg/edit?usp=sharing"",""งบกองทุน!m65"")"),0)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25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IFERROR(__xludf.DUMMYFUNCTION("IMPORTRANGE(""https://docs.google.com/spreadsheets/d/1C3CXT74ZlgGe6_JY_1olB1XN4rF0dxEuIIF-xsYjHgg/edit?usp=sharing"",""งบกองทุน!o65"")"),20)</f>
        <v>20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IFERROR(__xludf.DUMMYFUNCTION("IMPORTRANGE(""https://docs.google.com/spreadsheets/d/1C3CXT74ZlgGe6_JY_1olB1XN4rF0dxEuIIF-xsYjHgg/edit?usp=sharing"",""งบกองทุน!p65"")"),5)</f>
        <v>5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50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87710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5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87710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IFERROR(__xludf.DUMMYFUNCTION("IMPORTRANGE(""https://docs.google.com/spreadsheets/d/1C3CXT74ZlgGe6_JY_1olB1XN4rF0dxEuIIF-xsYjHgg/edit?usp=sharing"",""งบกองทุน!r65"")"),0)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IFERROR(__xludf.DUMMYFUNCTION("IMPORTRANGE(""https://docs.google.com/spreadsheets/d/1C3CXT74ZlgGe6_JY_1olB1XN4rF0dxEuIIF-xsYjHgg/edit?usp=sharing"",""งบกองทุน!s65"")"),87710)</f>
        <v>87710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0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IFERROR(__xludf.DUMMYFUNCTION("IMPORTRANGE(""https://docs.google.com/spreadsheets/d/1C3CXT74ZlgGe6_JY_1olB1XN4rF0dxEuIIF-xsYjHgg/edit?usp=sharing"",""งบกองทุน!v65"")"),5)</f>
        <v>5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IFERROR(__xludf.DUMMYFUNCTION("IMPORTRANGE(""https://docs.google.com/spreadsheets/d/1C3CXT74ZlgGe6_JY_1olB1XN4rF0dxEuIIF-xsYjHgg/edit?usp=sharing"",""งบกองทุน!w65"")"),50)</f>
        <v>50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IFERROR(__xludf.DUMMYFUNCTION("IMPORTRANGE(""https://docs.google.com/spreadsheets/d/1C3CXT74ZlgGe6_JY_1olB1XN4rF0dxEuIIF-xsYjHgg/edit?usp=sharing"",""งบกองทุน!x65"")"),5)</f>
        <v>5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204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229370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68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229370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IFERROR(__xludf.DUMMYFUNCTION("IMPORTRANGE(""https://docs.google.com/spreadsheets/d/1C3CXT74ZlgGe6_JY_1olB1XN4rF0dxEuIIF-xsYjHgg/edit?usp=sharing"",""งบกองทุน!z65"")"),0)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IFERROR(__xludf.DUMMYFUNCTION("IMPORTRANGE(""https://docs.google.com/spreadsheets/d/1C3CXT74ZlgGe6_JY_1olB1XN4rF0dxEuIIF-xsYjHgg/edit?usp=sharing"",""งบกองทุน!aa65"")"),229370)</f>
        <v>229370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68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IFERROR(__xludf.DUMMYFUNCTION("IMPORTRANGE(""https://docs.google.com/spreadsheets/d/1C3CXT74ZlgGe6_JY_1olB1XN4rF0dxEuIIF-xsYjHgg/edit?usp=sharing"",""งบกองทุน!ae65"")"),30)</f>
        <v>30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IFERROR(__xludf.DUMMYFUNCTION("IMPORTRANGE(""https://docs.google.com/spreadsheets/d/1C3CXT74ZlgGe6_JY_1olB1XN4rF0dxEuIIF-xsYjHgg/edit?usp=sharing"",""งบกองทุน!ad65"")"),90)</f>
        <v>90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IFERROR(__xludf.DUMMYFUNCTION("IMPORTRANGE(""https://docs.google.com/spreadsheets/d/1C3CXT74ZlgGe6_JY_1olB1XN4rF0dxEuIIF-xsYjHgg/edit?usp=sharing"",""งบกองทุน!af65"")"),30)</f>
        <v>30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IFERROR(__xludf.DUMMYFUNCTION("IMPORTRANGE(""https://docs.google.com/spreadsheets/d/1C3CXT74ZlgGe6_JY_1olB1XN4rF0dxEuIIF-xsYjHgg/edit?usp=sharing"",""งบกองทุน!ag65"")"),30)</f>
        <v>30</v>
      </c>
      <c r="J315" s="247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IFERROR(__xludf.DUMMYFUNCTION("IMPORTRANGE(""https://docs.google.com/spreadsheets/d/1C3CXT74ZlgGe6_JY_1olB1XN4rF0dxEuIIF-xsYjHgg/edit?usp=sharing"",""งบกองทุน!ai65"")"),25)</f>
        <v>25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IFERROR(__xludf.DUMMYFUNCTION("IMPORTRANGE(""https://docs.google.com/spreadsheets/d/1C3CXT74ZlgGe6_JY_1olB1XN4rF0dxEuIIF-xsYjHgg/edit?usp=sharing"",""งบกองทุน!ah65"")"),75)</f>
        <v>75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IFERROR(__xludf.DUMMYFUNCTION("IMPORTRANGE(""https://docs.google.com/spreadsheets/d/1C3CXT74ZlgGe6_JY_1olB1XN4rF0dxEuIIF-xsYjHgg/edit?usp=sharing"",""งบกองทุน!aj65"")"),25)</f>
        <v>25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IFERROR(__xludf.DUMMYFUNCTION("IMPORTRANGE(""https://docs.google.com/spreadsheets/d/1C3CXT74ZlgGe6_JY_1olB1XN4rF0dxEuIIF-xsYjHgg/edit?usp=sharing"",""งบกองทุน!ak65"")"),25)</f>
        <v>25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IFERROR(__xludf.DUMMYFUNCTION("IMPORTRANGE(""https://docs.google.com/spreadsheets/d/1C3CXT74ZlgGe6_JY_1olB1XN4rF0dxEuIIF-xsYjHgg/edit?usp=sharing"",""งบกองทุน!al65"")"),25)</f>
        <v>25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IFERROR(__xludf.DUMMYFUNCTION("IMPORTRANGE(""https://docs.google.com/spreadsheets/d/1C3CXT74ZlgGe6_JY_1olB1XN4rF0dxEuIIF-xsYjHgg/edit?usp=sharing"",""งบกองทุน!an65"")"),13)</f>
        <v>13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IFERROR(__xludf.DUMMYFUNCTION("IMPORTRANGE(""https://docs.google.com/spreadsheets/d/1C3CXT74ZlgGe6_JY_1olB1XN4rF0dxEuIIF-xsYjHgg/edit?usp=sharing"",""งบกองทุน!am65"")"),39)</f>
        <v>39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IFERROR(__xludf.DUMMYFUNCTION("IMPORTRANGE(""https://docs.google.com/spreadsheets/d/1C3CXT74ZlgGe6_JY_1olB1XN4rF0dxEuIIF-xsYjHgg/edit?usp=sharing"",""งบกองทุน!ao65"")"),13)</f>
        <v>13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IFERROR(__xludf.DUMMYFUNCTION("IMPORTRANGE(""https://docs.google.com/spreadsheets/d/1C3CXT74ZlgGe6_JY_1olB1XN4rF0dxEuIIF-xsYjHgg/edit?usp=sharing"",""งบกองทุน!ap65"")"),13)</f>
        <v>13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55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IFERROR(__xludf.DUMMYFUNCTION("IMPORTRANGE(""https://docs.google.com/spreadsheets/d/1C3CXT74ZlgGe6_JY_1olB1XN4rF0dxEuIIF-xsYjHgg/edit?usp=sharing"",""งบกองทุน!ar65"")"),30)</f>
        <v>30</v>
      </c>
      <c r="J326" s="67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IFERROR(__xludf.DUMMYFUNCTION("IMPORTRANGE(""https://docs.google.com/spreadsheets/d/1C3CXT74ZlgGe6_JY_1olB1XN4rF0dxEuIIF-xsYjHgg/edit?usp=sharing"",""งบกองทุน!as65"")"),25)</f>
        <v>25</v>
      </c>
      <c r="J327" s="67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84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225000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225000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IFERROR(__xludf.DUMMYFUNCTION("IMPORTRANGE(""https://docs.google.com/spreadsheets/d/1C3CXT74ZlgGe6_JY_1olB1XN4rF0dxEuIIF-xsYjHgg/edit?usp=sharing"",""งบกองทุน!au65"")"),0)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IFERROR(__xludf.DUMMYFUNCTION("IMPORTRANGE(""https://docs.google.com/spreadsheets/d/1C3CXT74ZlgGe6_JY_1olB1XN4rF0dxEuIIF-xsYjHgg/edit?usp=sharing"",""งบกองทุน!av65"")"),225000)</f>
        <v>225000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84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IFERROR(__xludf.DUMMYFUNCTION("IMPORTRANGE(""https://docs.google.com/spreadsheets/d/1C3CXT74ZlgGe6_JY_1olB1XN4rF0dxEuIIF-xsYjHgg/edit?usp=sharing"",""งบกองทุน!ay65"")"),24)</f>
        <v>24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IFERROR(__xludf.DUMMYFUNCTION("IMPORTRANGE(""https://docs.google.com/spreadsheets/d/1C3CXT74ZlgGe6_JY_1olB1XN4rF0dxEuIIF-xsYjHgg/edit?usp=sharing"",""งบกองทุน!az65"")"),60)</f>
        <v>60</v>
      </c>
      <c r="J346" s="67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IFERROR(__xludf.DUMMYFUNCTION("IMPORTRANGE(""https://docs.google.com/spreadsheets/d/1C3CXT74ZlgGe6_JY_1olB1XN4rF0dxEuIIF-xsYjHgg/edit?usp=sharing"",""งบกองทุน!Ba65"")"),0)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0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0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0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IFERROR(__xludf.DUMMYFUNCTION("IMPORTRANGE(""https://docs.google.com/spreadsheets/d/1C3CXT74ZlgGe6_JY_1olB1XN4rF0dxEuIIF-xsYjHgg/edit?usp=sharing"",""งบกองทุน!Bc65"")"),0)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IFERROR(__xludf.DUMMYFUNCTION("IMPORTRANGE(""https://docs.google.com/spreadsheets/d/1C3CXT74ZlgGe6_JY_1olB1XN4rF0dxEuIIF-xsYjHgg/edit?usp=sharing"",""งบกองทุน!Bd65"")"),0)</f>
        <v>0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2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2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IFERROR(__xludf.DUMMYFUNCTION("IMPORTRANGE(""https://docs.google.com/spreadsheets/d/1C3CXT74ZlgGe6_JY_1olB1XN4rF0dxEuIIF-xsYjHgg/edit?usp=sharing"",""งบกองทุน!BE65"")"),0)</f>
        <v>0</v>
      </c>
      <c r="J359" s="136">
        <f>+J376</f>
        <v>0</v>
      </c>
      <c r="K359" s="137">
        <f t="shared" ref="K359:K408" ca="1" si="82">IF(I359&gt;0,J359*100/I359,0)</f>
        <v>0</v>
      </c>
      <c r="L359" s="139"/>
      <c r="M359" s="4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IFERROR(__xludf.DUMMYFUNCTION("IMPORTRANGE(""https://docs.google.com/spreadsheets/d/1C3CXT74ZlgGe6_JY_1olB1XN4rF0dxEuIIF-xsYjHgg/edit?usp=sharing"",""งบกองทุน!BE65"")"),0)</f>
        <v>0</v>
      </c>
      <c r="J360" s="265">
        <f t="shared" ref="J360:J361" si="83">+J362+J364+J366</f>
        <v>0</v>
      </c>
      <c r="K360" s="79">
        <f t="shared" ca="1" si="82"/>
        <v>0</v>
      </c>
      <c r="L360" s="60"/>
      <c r="M360" s="52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IFERROR(__xludf.DUMMYFUNCTION("IMPORTRANGE(""https://docs.google.com/spreadsheets/d/1C3CXT74ZlgGe6_JY_1olB1XN4rF0dxEuIIF-xsYjHgg/edit?usp=sharing"",""งบกองทุน!Bf65"")"),0)</f>
        <v>0</v>
      </c>
      <c r="J361" s="265">
        <f t="shared" si="83"/>
        <v>0</v>
      </c>
      <c r="K361" s="79">
        <f t="shared" ca="1" si="82"/>
        <v>0</v>
      </c>
      <c r="L361" s="60"/>
      <c r="M361" s="52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0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47">
        <f ca="1">I361</f>
        <v>0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0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47">
        <f ca="1">I361</f>
        <v>0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IFERROR(__xludf.DUMMYFUNCTION("IMPORTRANGE(""https://docs.google.com/spreadsheets/d/1C3CXT74ZlgGe6_JY_1olB1XN4rF0dxEuIIF-xsYjHgg/edit?usp=sharing"",""งบกองทุน!cd65"")"),0)</f>
        <v>0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t="shared" ref="I391:J391" si="87">I393+I401+I407</f>
        <v>0</v>
      </c>
      <c r="J391" s="265">
        <f t="shared" si="87"/>
        <v>0</v>
      </c>
      <c r="K391" s="48">
        <f t="shared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t="shared" ref="I392:J392" si="88">I394+I402+I408</f>
        <v>0</v>
      </c>
      <c r="J392" s="265">
        <f t="shared" si="88"/>
        <v>0</v>
      </c>
      <c r="K392" s="79">
        <f t="shared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9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9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90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90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IFERROR(__xludf.DUMMYFUNCTION("IMPORTRANGE(""https://docs.google.com/spreadsheets/d/1C3CXT74ZlgGe6_JY_1olB1XN4rF0dxEuIIF-xsYjHgg/edit?usp=sharing"",""งบกองทุน!cz65"")"),0)</f>
        <v>0</v>
      </c>
      <c r="J409" s="136">
        <v>0</v>
      </c>
      <c r="K409" s="137"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IFERROR(__xludf.DUMMYFUNCTION("IMPORTRANGE(""https://docs.google.com/spreadsheets/d/1C3CXT74ZlgGe6_JY_1olB1XN4rF0dxEuIIF-xsYjHgg/edit?usp=sharing"",""งบกองทุน!cz65"")"),0)</f>
        <v>0</v>
      </c>
      <c r="J410" s="149">
        <v>0</v>
      </c>
      <c r="K410" s="146"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IFERROR(__xludf.DUMMYFUNCTION("IMPORTRANGE(""https://docs.google.com/spreadsheets/d/1C3CXT74ZlgGe6_JY_1olB1XN4rF0dxEuIIF-xsYjHgg/edit?usp=sharing"",""งบกองทุน!cy65"")"),0)</f>
        <v>0</v>
      </c>
      <c r="J411" s="149">
        <v>0</v>
      </c>
      <c r="K411" s="146"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IFERROR(__xludf.DUMMYFUNCTION("IMPORTRANGE(""https://docs.google.com/spreadsheets/d/1C3CXT74ZlgGe6_JY_1olB1XN4rF0dxEuIIF-xsYjHgg/edit?usp=sharing"",""งบกองทุน!db65"")"),0)</f>
        <v>0</v>
      </c>
      <c r="K412" s="48"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IFERROR(__xludf.DUMMYFUNCTION("IMPORTRANGE(""https://docs.google.com/spreadsheets/d/1C3CXT74ZlgGe6_JY_1olB1XN4rF0dxEuIIF-xsYjHgg/edit?usp=sharing"",""งบกองทุน!da65"")"),0)</f>
        <v>0</v>
      </c>
      <c r="K413" s="48"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IFERROR(__xludf.DUMMYFUNCTION("IMPORTRANGE(""https://docs.google.com/spreadsheets/d/1C3CXT74ZlgGe6_JY_1olB1XN4rF0dxEuIIF-xsYjHgg/edit?usp=sharing"",""งบกองทุน!dd65"")"),0)</f>
        <v>0</v>
      </c>
      <c r="K414" s="48"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IFERROR(__xludf.DUMMYFUNCTION("IMPORTRANGE(""https://docs.google.com/spreadsheets/d/1C3CXT74ZlgGe6_JY_1olB1XN4rF0dxEuIIF-xsYjHgg/edit?usp=sharing"",""งบกองทุน!dc65"")"),0)</f>
        <v>0</v>
      </c>
      <c r="K415" s="48"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IFERROR(__xludf.DUMMYFUNCTION("IMPORTRANGE(""https://docs.google.com/spreadsheets/d/1C3CXT74ZlgGe6_JY_1olB1XN4rF0dxEuIIF-xsYjHgg/edit?usp=sharing"",""งบกองทุน!df65"")"),0)</f>
        <v>0</v>
      </c>
      <c r="K416" s="48"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IFERROR(__xludf.DUMMYFUNCTION("IMPORTRANGE(""https://docs.google.com/spreadsheets/d/1C3CXT74ZlgGe6_JY_1olB1XN4rF0dxEuIIF-xsYjHgg/edit?usp=sharing"",""งบกองทุน!de65"")"),0)</f>
        <v>0</v>
      </c>
      <c r="K417" s="48"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1">J416</f>
        <v>0</v>
      </c>
      <c r="J418" s="149">
        <v>0</v>
      </c>
      <c r="K418" s="146"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1"/>
        <v>0</v>
      </c>
      <c r="J419" s="149">
        <v>0</v>
      </c>
      <c r="K419" s="146"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4">
        <v>0</v>
      </c>
      <c r="J425" s="300">
        <v>0</v>
      </c>
      <c r="K425" s="301"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2">I440</f>
        <v>22</v>
      </c>
      <c r="J426" s="257">
        <f t="shared" si="92"/>
        <v>0</v>
      </c>
      <c r="K426" s="258">
        <f ca="1">IF(I426&gt;0,J426*100/I426,0)</f>
        <v>0</v>
      </c>
      <c r="L426" s="259">
        <f t="shared" ref="L426:M426" ca="1" si="93">SUM(L427:L428)</f>
        <v>34340</v>
      </c>
      <c r="M426" s="259">
        <f t="shared" si="93"/>
        <v>0</v>
      </c>
      <c r="N426" s="259">
        <f t="shared" ref="N426:N430" ca="1" si="94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4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5">SUM(L429:L430)</f>
        <v>34340</v>
      </c>
      <c r="M428" s="52">
        <f t="shared" si="95"/>
        <v>0</v>
      </c>
      <c r="N428" s="52">
        <f t="shared" ca="1" si="94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IFERROR(__xludf.DUMMYFUNCTION("IMPORTRANGE(""https://docs.google.com/spreadsheets/d/1C3CXT74ZlgGe6_JY_1olB1XN4rF0dxEuIIF-xsYjHgg/edit?usp=sharing"",""งบกองทุน!dn65"")"),0)</f>
        <v>0</v>
      </c>
      <c r="M429" s="52">
        <v>0</v>
      </c>
      <c r="N429" s="52">
        <f t="shared" ca="1" si="94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IFERROR(__xludf.DUMMYFUNCTION("IMPORTRANGE(""https://docs.google.com/spreadsheets/d/1C3CXT74ZlgGe6_JY_1olB1XN4rF0dxEuIIF-xsYjHgg/edit?usp=sharing"",""งบกองทุน!do65"")"),34340)</f>
        <v>34340</v>
      </c>
      <c r="M430" s="52">
        <f>SUM(M431:M434)</f>
        <v>0</v>
      </c>
      <c r="N430" s="52">
        <f t="shared" ca="1" si="94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0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IFERROR(__xludf.DUMMYFUNCTION("IMPORTRANGE(""https://docs.google.com/spreadsheets/d/1C3CXT74ZlgGe6_JY_1olB1XN4rF0dxEuIIF-xsYjHgg/edit?usp=sharing"",""งบกองทุน!dq65"")"),22)</f>
        <v>22</v>
      </c>
      <c r="J440" s="67">
        <v>0</v>
      </c>
      <c r="K440" s="48">
        <f t="shared" ref="K440:K441" ca="1" si="96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IFERROR(__xludf.DUMMYFUNCTION("IMPORTRANGE(""https://docs.google.com/spreadsheets/d/1C3CXT74ZlgGe6_JY_1olB1XN4rF0dxEuIIF-xsYjHgg/edit?usp=sharing"",""งบกองทุน!dr65"")"),22)</f>
        <v>22</v>
      </c>
      <c r="J441" s="67">
        <v>0</v>
      </c>
      <c r="K441" s="48">
        <f t="shared" ca="1" si="96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7">SUM(I453,I455)</f>
        <v>0</v>
      </c>
      <c r="J444" s="257">
        <f t="shared" si="97"/>
        <v>0</v>
      </c>
      <c r="K444" s="258">
        <f ca="1">IF(I444&gt;0,J444*100/I444,0)</f>
        <v>0</v>
      </c>
      <c r="L444" s="259">
        <f t="shared" ref="L444:M444" ca="1" si="98">SUM(L445:L446)</f>
        <v>0</v>
      </c>
      <c r="M444" s="259">
        <f t="shared" si="98"/>
        <v>0</v>
      </c>
      <c r="N444" s="259">
        <f t="shared" ref="N444:N448" ca="1" si="99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9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100">SUM(L447:L448)</f>
        <v>0</v>
      </c>
      <c r="M446" s="52">
        <f t="shared" si="100"/>
        <v>0</v>
      </c>
      <c r="N446" s="52">
        <f t="shared" ca="1" si="99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IFERROR(__xludf.DUMMYFUNCTION("IMPORTRANGE(""https://docs.google.com/spreadsheets/d/1C3CXT74ZlgGe6_JY_1olB1XN4rF0dxEuIIF-xsYjHgg/edit?usp=sharing"",""งบกองทุน!dt65"")"),0)</f>
        <v>0</v>
      </c>
      <c r="M447" s="52">
        <v>0</v>
      </c>
      <c r="N447" s="52">
        <f t="shared" ca="1" si="99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IFERROR(__xludf.DUMMYFUNCTION("IMPORTRANGE(""https://docs.google.com/spreadsheets/d/1C3CXT74ZlgGe6_JY_1olB1XN4rF0dxEuIIF-xsYjHgg/edit?usp=sharing"",""งบกองทุน!du65"")"),0)</f>
        <v>0</v>
      </c>
      <c r="M448" s="52">
        <f>SUM(M449:M452)</f>
        <v>0</v>
      </c>
      <c r="N448" s="52">
        <f t="shared" ca="1" si="99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IFERROR(__xludf.DUMMYFUNCTION("IMPORTRANGE(""https://docs.google.com/spreadsheets/d/1C3CXT74ZlgGe6_JY_1olB1XN4rF0dxEuIIF-xsYjHgg/edit?usp=sharing"",""งบกองทุน!dw65"")"),0)</f>
        <v>0</v>
      </c>
      <c r="J453" s="66">
        <v>0</v>
      </c>
      <c r="K453" s="232">
        <f t="shared" ref="K453:K457" ca="1" si="101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IFERROR(__xludf.DUMMYFUNCTION("IMPORTRANGE(""https://docs.google.com/spreadsheets/d/1C3CXT74ZlgGe6_JY_1olB1XN4rF0dxEuIIF-xsYjHgg/edit?usp=sharing"",""งบกองทุน!dx65"")"),0)</f>
        <v>0</v>
      </c>
      <c r="J454" s="66">
        <v>0</v>
      </c>
      <c r="K454" s="232">
        <f t="shared" ca="1" si="101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IFERROR(__xludf.DUMMYFUNCTION("IMPORTRANGE(""https://docs.google.com/spreadsheets/d/1C3CXT74ZlgGe6_JY_1olB1XN4rF0dxEuIIF-xsYjHgg/edit?usp=sharing"",""งบกองทุน!dy65"")"),0)</f>
        <v>0</v>
      </c>
      <c r="J455" s="66">
        <v>0</v>
      </c>
      <c r="K455" s="232">
        <f t="shared" ca="1" si="101"/>
        <v>0</v>
      </c>
      <c r="L455" s="52"/>
      <c r="M455" s="52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IFERROR(__xludf.DUMMYFUNCTION("IMPORTRANGE(""https://docs.google.com/spreadsheets/d/1C3CXT74ZlgGe6_JY_1olB1XN4rF0dxEuIIF-xsYjHgg/edit?usp=sharing"",""งบกองทุน!dz65"")"),0)</f>
        <v>0</v>
      </c>
      <c r="J456" s="66">
        <v>0</v>
      </c>
      <c r="K456" s="48">
        <f t="shared" ca="1" si="101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150</v>
      </c>
      <c r="J457" s="226">
        <f>+J466</f>
        <v>0</v>
      </c>
      <c r="K457" s="227">
        <f t="shared" ca="1" si="101"/>
        <v>0</v>
      </c>
      <c r="L457" s="228">
        <f t="shared" ref="L457:M457" ca="1" si="102">SUM(L458:L459)</f>
        <v>119520</v>
      </c>
      <c r="M457" s="228">
        <f t="shared" si="102"/>
        <v>0</v>
      </c>
      <c r="N457" s="228">
        <f t="shared" ref="N457:N461" ca="1" si="103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3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4">SUM(L460:L461)</f>
        <v>119520</v>
      </c>
      <c r="M459" s="52">
        <f t="shared" si="104"/>
        <v>0</v>
      </c>
      <c r="N459" s="52">
        <f t="shared" ca="1" si="103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IFERROR(__xludf.DUMMYFUNCTION("IMPORTRANGE(""https://docs.google.com/spreadsheets/d/1C3CXT74ZlgGe6_JY_1olB1XN4rF0dxEuIIF-xsYjHgg/edit?usp=sharing"",""งบกองทุน!Eb65"")"),0)</f>
        <v>0</v>
      </c>
      <c r="M460" s="52">
        <v>0</v>
      </c>
      <c r="N460" s="52">
        <f t="shared" ca="1" si="103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IFERROR(__xludf.DUMMYFUNCTION("IMPORTRANGE(""https://docs.google.com/spreadsheets/d/1C3CXT74ZlgGe6_JY_1olB1XN4rF0dxEuIIF-xsYjHgg/edit?usp=sharing"",""งบกองทุน!Ec65"")"),119520)</f>
        <v>119520</v>
      </c>
      <c r="M461" s="52">
        <f>SUM(M462:M465)</f>
        <v>0</v>
      </c>
      <c r="N461" s="52">
        <f t="shared" ca="1" si="103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IFERROR(__xludf.DUMMYFUNCTION("IMPORTRANGE(""https://docs.google.com/spreadsheets/d/1C3CXT74ZlgGe6_JY_1olB1XN4rF0dxEuIIF-xsYjHgg/edit?usp=sharing"",""งบกองทุน!Ed65"")"),150)</f>
        <v>150</v>
      </c>
      <c r="J466" s="265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5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5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0</v>
      </c>
      <c r="K470" s="48">
        <f t="shared" si="105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5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5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6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6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7">SUM(L476:L477)</f>
        <v>0</v>
      </c>
      <c r="M475" s="52">
        <f t="shared" si="107"/>
        <v>0</v>
      </c>
      <c r="N475" s="52">
        <f t="shared" ca="1" si="106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IFERROR(__xludf.DUMMYFUNCTION("IMPORTRANGE(""https://docs.google.com/spreadsheets/d/1C3CXT74ZlgGe6_JY_1olB1XN4rF0dxEuIIF-xsYjHgg/edit?usp=sharing"",""งบกองทุน!Ek65"")"),0)</f>
        <v>0</v>
      </c>
      <c r="M476" s="52">
        <v>0</v>
      </c>
      <c r="N476" s="52">
        <f t="shared" ca="1" si="106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IFERROR(__xludf.DUMMYFUNCTION("IMPORTRANGE(""https://docs.google.com/spreadsheets/d/1C3CXT74ZlgGe6_JY_1olB1XN4rF0dxEuIIF-xsYjHgg/edit?usp=sharing"",""งบกองทุน!El65"")"),0)</f>
        <v>0</v>
      </c>
      <c r="M477" s="52">
        <f>SUM(M478:M481)</f>
        <v>0</v>
      </c>
      <c r="N477" s="52">
        <f t="shared" ca="1" si="106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IFERROR(__xludf.DUMMYFUNCTION("IMPORTRANGE(""https://docs.google.com/spreadsheets/d/1C3CXT74ZlgGe6_JY_1olB1XN4rF0dxEuIIF-xsYjHgg/edit?usp=sharing"",""งบกองทุน!Em65"")"),0)</f>
        <v>0</v>
      </c>
      <c r="J482" s="66">
        <f ca="1">IFERROR(__xludf.DUMMYFUNCTION("IMPORTRANGE(""https://docs.google.com/spreadsheets/d/1AGHcLOeeYFL3K4b9R1dSzyJy00PE_ra89DNTVfnxSWM/edit?usp=sharing"",""รวมที่ชุมชน!G54"")"),0)</f>
        <v>0</v>
      </c>
      <c r="K482" s="48">
        <f t="shared" ref="K482:K489" ca="1" si="108">IF(I482&gt;0,J482*100/I482,0)</f>
        <v>0</v>
      </c>
      <c r="L482" s="60"/>
      <c r="M482" s="52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IFERROR(__xludf.DUMMYFUNCTION("IMPORTRANGE(""https://docs.google.com/spreadsheets/d/1C3CXT74ZlgGe6_JY_1olB1XN4rF0dxEuIIF-xsYjHgg/edit?usp=sharing"",""งบกองทุน!En65"")"),0)</f>
        <v>0</v>
      </c>
      <c r="J483" s="66">
        <f ca="1">IFERROR(__xludf.DUMMYFUNCTION("IMPORTRANGE(""https://docs.google.com/spreadsheets/d/1AGHcLOeeYFL3K4b9R1dSzyJy00PE_ra89DNTVfnxSWM/edit?usp=sharing"",""รวมที่ชุมชน!H54"")"),0)</f>
        <v>0</v>
      </c>
      <c r="K483" s="200">
        <f t="shared" ca="1" si="108"/>
        <v>0</v>
      </c>
      <c r="L483" s="60"/>
      <c r="M483" s="52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IFERROR(__xludf.DUMMYFUNCTION("IMPORTRANGE(""https://docs.google.com/spreadsheets/d/1C3CXT74ZlgGe6_JY_1olB1XN4rF0dxEuIIF-xsYjHgg/edit?usp=sharing"",""งบกองทุน!Eo65"")"),0)</f>
        <v>0</v>
      </c>
      <c r="J484" s="66">
        <f ca="1">IFERROR(__xludf.DUMMYFUNCTION("IMPORTRANGE(""https://docs.google.com/spreadsheets/d/1AGHcLOeeYFL3K4b9R1dSzyJy00PE_ra89DNTVfnxSWM/edit?usp=sharing"",""รวมที่ชุมชน!J54"")"),0)</f>
        <v>0</v>
      </c>
      <c r="K484" s="48">
        <f t="shared" ca="1" si="108"/>
        <v>0</v>
      </c>
      <c r="L484" s="60"/>
      <c r="M484" s="52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IFERROR(__xludf.DUMMYFUNCTION("IMPORTRANGE(""https://docs.google.com/spreadsheets/d/1C3CXT74ZlgGe6_JY_1olB1XN4rF0dxEuIIF-xsYjHgg/edit?usp=sharing"",""งบกองทุน!Ep65"")"),0)</f>
        <v>0</v>
      </c>
      <c r="J485" s="66">
        <f ca="1">IFERROR(__xludf.DUMMYFUNCTION("IMPORTRANGE(""https://docs.google.com/spreadsheets/d/1AGHcLOeeYFL3K4b9R1dSzyJy00PE_ra89DNTVfnxSWM/edit?usp=sharing"",""รวมที่ชุมชน!L54"")"),0)</f>
        <v>0</v>
      </c>
      <c r="K485" s="200">
        <f t="shared" ca="1" si="108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IFERROR(__xludf.DUMMYFUNCTION("IMPORTRANGE(""https://docs.google.com/spreadsheets/d/1C3CXT74ZlgGe6_JY_1olB1XN4rF0dxEuIIF-xsYjHgg/edit?usp=sharing"",""งบกองทุน!Eq65"")"),0)</f>
        <v>0</v>
      </c>
      <c r="J486" s="66">
        <f ca="1">IFERROR(__xludf.DUMMYFUNCTION("IMPORTRANGE(""https://docs.google.com/spreadsheets/d/1AGHcLOeeYFL3K4b9R1dSzyJy00PE_ra89DNTVfnxSWM/edit?usp=sharing"",""รวมที่ชุมชน!S54"")"),0)</f>
        <v>0</v>
      </c>
      <c r="K486" s="48">
        <f t="shared" ca="1" si="108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IFERROR(__xludf.DUMMYFUNCTION("IMPORTRANGE(""https://docs.google.com/spreadsheets/d/1C3CXT74ZlgGe6_JY_1olB1XN4rF0dxEuIIF-xsYjHgg/edit?usp=sharing"",""งบกองทุน!Er65"")"),0)</f>
        <v>0</v>
      </c>
      <c r="J487" s="66">
        <f ca="1">IFERROR(__xludf.DUMMYFUNCTION("IMPORTRANGE(""https://docs.google.com/spreadsheets/d/1AGHcLOeeYFL3K4b9R1dSzyJy00PE_ra89DNTVfnxSWM/edit?usp=sharing"",""รวมที่ชุมชน!U54"")"),0)</f>
        <v>0</v>
      </c>
      <c r="K487" s="200">
        <f t="shared" ca="1" si="108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IFERROR(__xludf.DUMMYFUNCTION("IMPORTRANGE(""https://docs.google.com/spreadsheets/d/1C3CXT74ZlgGe6_JY_1olB1XN4rF0dxEuIIF-xsYjHgg/edit?usp=sharing"",""งบกองทุน!Es65"")"),0)</f>
        <v>0</v>
      </c>
      <c r="J488" s="66">
        <f ca="1">IFERROR(__xludf.DUMMYFUNCTION("IMPORTRANGE(""https://docs.google.com/spreadsheets/d/1AGHcLOeeYFL3K4b9R1dSzyJy00PE_ra89DNTVfnxSWM/edit?usp=sharing"",""รวมที่ชุมชน!V54"")"),0)</f>
        <v>0</v>
      </c>
      <c r="K488" s="48">
        <f t="shared" ca="1" si="108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IFERROR(__xludf.DUMMYFUNCTION("IMPORTRANGE(""https://docs.google.com/spreadsheets/d/1C3CXT74ZlgGe6_JY_1olB1XN4rF0dxEuIIF-xsYjHgg/edit?usp=sharing"",""งบกองทุน!Et65"")"),0)</f>
        <v>0</v>
      </c>
      <c r="J489" s="111">
        <f ca="1">IFERROR(__xludf.DUMMYFUNCTION("IMPORTRANGE(""https://docs.google.com/spreadsheets/d/1AGHcLOeeYFL3K4b9R1dSzyJy00PE_ra89DNTVfnxSWM/edit?usp=sharing"",""รวมที่ชุมชน!X54"")"),0)</f>
        <v>0</v>
      </c>
      <c r="K489" s="347">
        <f t="shared" ca="1" si="108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9">I504</f>
        <v>50</v>
      </c>
      <c r="J490" s="303">
        <f t="shared" si="109"/>
        <v>0</v>
      </c>
      <c r="K490" s="258">
        <f ca="1">IF(I490&gt;0,J490*100/I490,0)</f>
        <v>0</v>
      </c>
      <c r="L490" s="259">
        <f ca="1">SUM(L491,L492)</f>
        <v>6950</v>
      </c>
      <c r="M490" s="259">
        <f>SUM(M491:M492)</f>
        <v>0</v>
      </c>
      <c r="N490" s="259">
        <f t="shared" ref="N490:N494" ca="1" si="110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10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1">SUM(L493:L494)</f>
        <v>6950</v>
      </c>
      <c r="M492" s="52">
        <f t="shared" si="111"/>
        <v>0</v>
      </c>
      <c r="N492" s="52">
        <f t="shared" ca="1" si="110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IFERROR(__xludf.DUMMYFUNCTION("IMPORTRANGE(""https://docs.google.com/spreadsheets/d/1C3CXT74ZlgGe6_JY_1olB1XN4rF0dxEuIIF-xsYjHgg/edit?usp=sharing"",""งบกองทุน!Ev65"")"),0)</f>
        <v>0</v>
      </c>
      <c r="M493" s="52">
        <v>0</v>
      </c>
      <c r="N493" s="52">
        <f t="shared" ca="1" si="110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IFERROR(__xludf.DUMMYFUNCTION("IMPORTRANGE(""https://docs.google.com/spreadsheets/d/1C3CXT74ZlgGe6_JY_1olB1XN4rF0dxEuIIF-xsYjHgg/edit?usp=sharing"",""งบกองทุน!Ew65"")"),6950)</f>
        <v>6950</v>
      </c>
      <c r="M494" s="52">
        <f>SUM(M495:M498)</f>
        <v>0</v>
      </c>
      <c r="N494" s="52">
        <f t="shared" ca="1" si="110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IFERROR(__xludf.DUMMYFUNCTION("IMPORTRANGE(""https://docs.google.com/spreadsheets/d/1C3CXT74ZlgGe6_JY_1olB1XN4rF0dxEuIIF-xsYjHgg/edit?usp=sharing"",""งบกองทุน!EZ65"")"),50)</f>
        <v>50</v>
      </c>
      <c r="J504" s="47">
        <f>+J510</f>
        <v>0</v>
      </c>
      <c r="K504" s="48">
        <f t="shared" ref="K504:K512" ca="1" si="112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2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2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2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2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2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3">I511+I512</f>
        <v>0</v>
      </c>
      <c r="J510" s="66">
        <f t="shared" si="113"/>
        <v>0</v>
      </c>
      <c r="K510" s="48">
        <f t="shared" ca="1" si="112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2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2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IFERROR(__xludf.DUMMYFUNCTION("IMPORTRANGE(""https://docs.google.com/spreadsheets/d/1C3CXT74ZlgGe6_JY_1olB1XN4rF0dxEuIIF-xsYjHgg/edit?usp=sharing"",""งบกองทุน!ff65"")"),0)</f>
        <v>0</v>
      </c>
      <c r="J513" s="47">
        <f>J514</f>
        <v>0</v>
      </c>
      <c r="K513" s="48">
        <f t="shared" ref="K513:K519" ca="1" si="114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5">I515+I516</f>
        <v>0</v>
      </c>
      <c r="J514" s="47">
        <f t="shared" si="115"/>
        <v>0</v>
      </c>
      <c r="K514" s="48">
        <f t="shared" ca="1" si="114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4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4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6">SUM(I518:I519)</f>
        <v>0</v>
      </c>
      <c r="J517" s="66">
        <f t="shared" si="116"/>
        <v>0</v>
      </c>
      <c r="K517" s="48">
        <f t="shared" ca="1" si="114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4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4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IFERROR(__xludf.DUMMYFUNCTION("IMPORTRANGE(""https://docs.google.com/spreadsheets/d/1muirlRDkqiswvy_NRZ3Yh955hx-PF6_HhssUYiSJj8o/edit?usp=sharing"",""กองทุน!D65"")"),3031999.6)</f>
        <v>3031999.6</v>
      </c>
      <c r="J521" s="199">
        <f ca="1">IFERROR(__xludf.DUMMYFUNCTION("IMPORTRANGE(""https://docs.google.com/spreadsheets/d/1muirlRDkqiswvy_NRZ3Yh955hx-PF6_HhssUYiSJj8o/edit?usp=sharing"",""กองทุน!F65"")"),0)</f>
        <v>0</v>
      </c>
      <c r="K521" s="200">
        <f t="shared" ref="K521:K528" ca="1" si="117">IF(I521&gt;0,J521*100/I521,0)</f>
        <v>0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IFERROR(__xludf.DUMMYFUNCTION("IMPORTRANGE(""https://docs.google.com/spreadsheets/d/1muirlRDkqiswvy_NRZ3Yh955hx-PF6_HhssUYiSJj8o/edit?usp=sharing"",""กองทุน!C65"")"),113)</f>
        <v>113</v>
      </c>
      <c r="J522" s="199">
        <f ca="1">IFERROR(__xludf.DUMMYFUNCTION("IMPORTRANGE(""https://docs.google.com/spreadsheets/d/1muirlRDkqiswvy_NRZ3Yh955hx-PF6_HhssUYiSJj8o/edit?usp=sharing"",""กองทุน!E65"")"),0)</f>
        <v>0</v>
      </c>
      <c r="K522" s="200">
        <f t="shared" ca="1" si="117"/>
        <v>0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IFERROR(__xludf.DUMMYFUNCTION("IMPORTRANGE(""https://docs.google.com/spreadsheets/d/1muirlRDkqiswvy_NRZ3Yh955hx-PF6_HhssUYiSJj8o/edit?usp=sharing"",""กองทุน!I65"")"),3755607.56999999)</f>
        <v>3755607.5699999901</v>
      </c>
      <c r="J523" s="199">
        <f ca="1">IFERROR(__xludf.DUMMYFUNCTION("IMPORTRANGE(""https://docs.google.com/spreadsheets/d/1muirlRDkqiswvy_NRZ3Yh955hx-PF6_HhssUYiSJj8o/edit?usp=sharing"",""กองทุน!K65"")"),2613.18)</f>
        <v>2613.1799999999998</v>
      </c>
      <c r="K523" s="200">
        <f t="shared" ca="1" si="117"/>
        <v>6.9580752282912425E-2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IFERROR(__xludf.DUMMYFUNCTION("IMPORTRANGE(""https://docs.google.com/spreadsheets/d/1muirlRDkqiswvy_NRZ3Yh955hx-PF6_HhssUYiSJj8o/edit?usp=sharing"",""กองทุน!H65"")"),108)</f>
        <v>108</v>
      </c>
      <c r="J524" s="199">
        <f ca="1">IFERROR(__xludf.DUMMYFUNCTION("IMPORTRANGE(""https://docs.google.com/spreadsheets/d/1muirlRDkqiswvy_NRZ3Yh955hx-PF6_HhssUYiSJj8o/edit?usp=sharing"",""กองทุน!J65"")"),3)</f>
        <v>3</v>
      </c>
      <c r="K524" s="200">
        <f t="shared" ca="1" si="117"/>
        <v>2.7777777777777777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IFERROR(__xludf.DUMMYFUNCTION("IMPORTRANGE(""https://docs.google.com/spreadsheets/d/1muirlRDkqiswvy_NRZ3Yh955hx-PF6_HhssUYiSJj8o/edit?usp=sharing"",""กองทุน!N65"")"),5812476.32)</f>
        <v>5812476.3200000003</v>
      </c>
      <c r="J525" s="199">
        <f ca="1">IFERROR(__xludf.DUMMYFUNCTION("IMPORTRANGE(""https://docs.google.com/spreadsheets/d/1muirlRDkqiswvy_NRZ3Yh955hx-PF6_HhssUYiSJj8o/edit?usp=sharing"",""กองทุน!P65"")"),143996.4)</f>
        <v>143996.4</v>
      </c>
      <c r="K525" s="200">
        <f t="shared" ca="1" si="117"/>
        <v>2.4773675120968059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IFERROR(__xludf.DUMMYFUNCTION("IMPORTRANGE(""https://docs.google.com/spreadsheets/d/1muirlRDkqiswvy_NRZ3Yh955hx-PF6_HhssUYiSJj8o/edit?usp=sharing"",""กองทุน!M65"")"),2004)</f>
        <v>2004</v>
      </c>
      <c r="J526" s="199">
        <f ca="1">IFERROR(__xludf.DUMMYFUNCTION("IMPORTRANGE(""https://docs.google.com/spreadsheets/d/1muirlRDkqiswvy_NRZ3Yh955hx-PF6_HhssUYiSJj8o/edit?usp=sharing"",""กองทุน!O65"")"),40)</f>
        <v>40</v>
      </c>
      <c r="K526" s="200">
        <f t="shared" ca="1" si="117"/>
        <v>1.996007984031936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IFERROR(__xludf.DUMMYFUNCTION("IMPORTRANGE(""https://docs.google.com/spreadsheets/d/1muirlRDkqiswvy_NRZ3Yh955hx-PF6_HhssUYiSJj8o/edit?usp=sharing"",""กองทุน!S65"")"),2000000)</f>
        <v>2000000</v>
      </c>
      <c r="J527" s="199">
        <f ca="1">IFERROR(__xludf.DUMMYFUNCTION("IMPORTRANGE(""https://docs.google.com/spreadsheets/d/1muirlRDkqiswvy_NRZ3Yh955hx-PF6_HhssUYiSJj8o/edit?usp=sharing"",""กองทุน!U65"")"),0)</f>
        <v>0</v>
      </c>
      <c r="K527" s="200">
        <f t="shared" ca="1" si="117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IFERROR(__xludf.DUMMYFUNCTION("IMPORTRANGE(""https://docs.google.com/spreadsheets/d/1muirlRDkqiswvy_NRZ3Yh955hx-PF6_HhssUYiSJj8o/edit?usp=sharing"",""กองทุน!R65"")"),60)</f>
        <v>60</v>
      </c>
      <c r="J528" s="324">
        <f ca="1">IFERROR(__xludf.DUMMYFUNCTION("IMPORTRANGE(""https://docs.google.com/spreadsheets/d/1muirlRDkqiswvy_NRZ3Yh955hx-PF6_HhssUYiSJj8o/edit?usp=sharing"",""กองทุน!T65"")"),0)</f>
        <v>0</v>
      </c>
      <c r="K528" s="347">
        <f t="shared" ca="1" si="117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A5" sqref="A5:G5"/>
      <selection pane="bottomLeft" activeCell="A5" sqref="A5:G5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68" t="s">
        <v>0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</row>
    <row r="2" spans="1:14" ht="18" customHeight="1" x14ac:dyDescent="0.55000000000000004">
      <c r="A2" s="368" t="s">
        <v>230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</row>
    <row r="3" spans="1:14" ht="18" customHeight="1" x14ac:dyDescent="0.55000000000000004">
      <c r="A3" s="368" t="s">
        <v>247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70" t="s">
        <v>4</v>
      </c>
      <c r="B5" s="371"/>
      <c r="C5" s="371"/>
      <c r="D5" s="371"/>
      <c r="E5" s="371"/>
      <c r="F5" s="371"/>
      <c r="G5" s="372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1073305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IFERROR(__xludf.DUMMYFUNCTION("IMPORTRANGE(""https://docs.google.com/spreadsheets/d/1C3CXT74ZlgGe6_JY_1olB1XN4rF0dxEuIIF-xsYjHgg/edit?usp=sharing"",""พรบ!C66"")"),0)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66"/>
      <c r="K13" s="232"/>
      <c r="L13" s="52">
        <f ca="1">IFERROR(__xludf.DUMMYFUNCTION("IMPORTRANGE(""https://docs.google.com/spreadsheets/d/1C3CXT74ZlgGe6_JY_1olB1XN4rF0dxEuIIF-xsYjHgg/edit?usp=sharing"",""พรบ!D66"")"),0)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66"/>
      <c r="K14" s="232"/>
      <c r="L14" s="52">
        <f ca="1">IFERROR(__xludf.DUMMYFUNCTION("IMPORTRANGE(""https://docs.google.com/spreadsheets/d/1C3CXT74ZlgGe6_JY_1olB1XN4rF0dxEuIIF-xsYjHgg/edit?usp=sharing"",""พรบ!E66"")"),0)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28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IFERROR(__xludf.DUMMYFUNCTION("IMPORTRANGE(""https://docs.google.com/spreadsheets/d/1C3CXT74ZlgGe6_JY_1olB1XN4rF0dxEuIIF-xsYjHgg/edit?usp=sharing"",""พรบ!H66"")"),0)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IFERROR(__xludf.DUMMYFUNCTION("IMPORTRANGE(""https://docs.google.com/spreadsheets/d/1C3CXT74ZlgGe6_JY_1olB1XN4rF0dxEuIIF-xsYjHgg/edit?usp=sharing"",""พรบ!I66"")"),0)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IFERROR(__xludf.DUMMYFUNCTION("IMPORTRANGE(""https://docs.google.com/spreadsheets/d/1C3CXT74ZlgGe6_JY_1olB1XN4rF0dxEuIIF-xsYjHgg/edit?usp=sharing"",""พรบ!J66"")"),0)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IFERROR(__xludf.DUMMYFUNCTION("IMPORTRANGE(""https://docs.google.com/spreadsheets/d/1C3CXT74ZlgGe6_JY_1olB1XN4rF0dxEuIIF-xsYjHgg/edit?usp=sharing"",""พรบ!K66"")"),0)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IFERROR(__xludf.DUMMYFUNCTION("IMPORTRANGE(""https://docs.google.com/spreadsheets/d/1C3CXT74ZlgGe6_JY_1olB1XN4rF0dxEuIIF-xsYjHgg/edit?usp=sharing"",""พรบ!L66"")"),0)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IFERROR(__xludf.DUMMYFUNCTION("IMPORTRANGE(""https://docs.google.com/spreadsheets/d/1C3CXT74ZlgGe6_JY_1olB1XN4rF0dxEuIIF-xsYjHgg/edit?usp=sharing"",""พรบ!M66"")"),0)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IFERROR(__xludf.DUMMYFUNCTION("IMPORTRANGE(""https://docs.google.com/spreadsheets/d/1C3CXT74ZlgGe6_JY_1olB1XN4rF0dxEuIIF-xsYjHgg/edit?usp=sharing"",""พรบ!N66"")"),0)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6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IFERROR(__xludf.DUMMYFUNCTION("IMPORTRANGE(""https://docs.google.com/spreadsheets/d/1C3CXT74ZlgGe6_JY_1olB1XN4rF0dxEuIIF-xsYjHgg/edit?usp=sharing"",""พรบ!O66"")"),0)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IFERROR(__xludf.DUMMYFUNCTION("IMPORTRANGE(""https://docs.google.com/spreadsheets/d/1C3CXT74ZlgGe6_JY_1olB1XN4rF0dxEuIIF-xsYjHgg/edit?usp=sharing"",""พรบ!P66"")"),0)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IFERROR(__xludf.DUMMYFUNCTION("IMPORTRANGE(""https://docs.google.com/spreadsheets/d/1C3CXT74ZlgGe6_JY_1olB1XN4rF0dxEuIIF-xsYjHgg/edit?usp=sharing"",""พรบ!Q66"")"),0)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IFERROR(__xludf.DUMMYFUNCTION("IMPORTRANGE(""https://docs.google.com/spreadsheets/d/1C3CXT74ZlgGe6_JY_1olB1XN4rF0dxEuIIF-xsYjHgg/edit?usp=sharing"",""พรบ!R66"")"),0)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IFERROR(__xludf.DUMMYFUNCTION("IMPORTRANGE(""https://docs.google.com/spreadsheets/d/1C3CXT74ZlgGe6_JY_1olB1XN4rF0dxEuIIF-xsYjHgg/edit?usp=sharing"",""พรบ!S66"")"),0)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IFERROR(__xludf.DUMMYFUNCTION("IMPORTRANGE(""https://docs.google.com/spreadsheets/d/1C3CXT74ZlgGe6_JY_1olB1XN4rF0dxEuIIF-xsYjHgg/edit?usp=sharing"",""พรบ!T66"")"),0)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IFERROR(__xludf.DUMMYFUNCTION("IMPORTRANGE(""https://docs.google.com/spreadsheets/d/1C3CXT74ZlgGe6_JY_1olB1XN4rF0dxEuIIF-xsYjHgg/edit?usp=sharing"",""พรบ!U66"")"),0)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IFERROR(__xludf.DUMMYFUNCTION("IMPORTRANGE(""https://docs.google.com/spreadsheets/d/1C3CXT74ZlgGe6_JY_1olB1XN4rF0dxEuIIF-xsYjHgg/edit?usp=sharing"",""พรบ!V66"")"),0)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IFERROR(__xludf.DUMMYFUNCTION("IMPORTRANGE(""https://docs.google.com/spreadsheets/d/1C3CXT74ZlgGe6_JY_1olB1XN4rF0dxEuIIF-xsYjHgg/edit?usp=sharing"",""พรบ!W66"")"),0)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6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IFERROR(__xludf.DUMMYFUNCTION("IMPORTRANGE(""https://docs.google.com/spreadsheets/d/1C3CXT74ZlgGe6_JY_1olB1XN4rF0dxEuIIF-xsYjHgg/edit?usp=sharing"",""พรบ!Y66"")"),0)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IFERROR(__xludf.DUMMYFUNCTION("IMPORTRANGE(""https://docs.google.com/spreadsheets/d/1C3CXT74ZlgGe6_JY_1olB1XN4rF0dxEuIIF-xsYjHgg/edit?usp=sharing"",""พรบ!Z66"")"),0)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246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IFERROR(__xludf.DUMMYFUNCTION("IMPORTRANGE(""https://docs.google.com/spreadsheets/d/1C3CXT74ZlgGe6_JY_1olB1XN4rF0dxEuIIF-xsYjHgg/edit?usp=sharing"",""พรบ!AA66"")"),0)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7">
        <v>0</v>
      </c>
      <c r="K65" s="358"/>
      <c r="L65" s="359"/>
      <c r="M65" s="359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20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567900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567900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IFERROR(__xludf.DUMMYFUNCTION("IMPORTRANGE(""https://docs.google.com/spreadsheets/d/1C3CXT74ZlgGe6_JY_1olB1XN4rF0dxEuIIF-xsYjHgg/edit?usp=sharing"",""พรบ!AD66"")"),310700)</f>
        <v>310700</v>
      </c>
      <c r="M72" s="53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257200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IFERROR(__xludf.DUMMYFUNCTION("IMPORTRANGE(""https://docs.google.com/spreadsheets/d/1C3CXT74ZlgGe6_JY_1olB1XN4rF0dxEuIIF-xsYjHgg/edit?usp=sharing"",""พรบ!AF66"")"),7500)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1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IFERROR(__xludf.DUMMYFUNCTION("IMPORTRANGE(""https://docs.google.com/spreadsheets/d/1C3CXT74ZlgGe6_JY_1olB1XN4rF0dxEuIIF-xsYjHgg/edit?usp=sharing"",""พรบ!AG66"")"),4)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3</v>
      </c>
      <c r="J89" s="149">
        <f t="shared" si="21"/>
        <v>0</v>
      </c>
      <c r="K89" s="150">
        <f ca="1">IF(I89&gt;0,J89*100/I89,0)</f>
        <v>0</v>
      </c>
      <c r="L89" s="147">
        <f ca="1">L90+L91</f>
        <v>42000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42000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IFERROR(__xludf.DUMMYFUNCTION("IMPORTRANGE(""https://docs.google.com/spreadsheets/d/1C3CXT74ZlgGe6_JY_1olB1XN4rF0dxEuIIF-xsYjHgg/edit?usp=sharing"",""พรบ!AH66"")"),42000)</f>
        <v>42000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1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1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IFERROR(__xludf.DUMMYFUNCTION("IMPORTRANGE(""https://docs.google.com/spreadsheets/d/1C3CXT74ZlgGe6_JY_1olB1XN4rF0dxEuIIF-xsYjHgg/edit?usp=sharing"",""พรบ!AI66"")"),3)</f>
        <v>3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IFERROR(__xludf.DUMMYFUNCTION("IMPORTRANGE(""https://docs.google.com/spreadsheets/d/1C3CXT74ZlgGe6_JY_1olB1XN4rF0dxEuIIF-xsYjHgg/edit?usp=sharing"",""กปร!C66"")"),36000)</f>
        <v>36000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IFERROR(__xludf.DUMMYFUNCTION("IMPORTRANGE(""https://docs.google.com/spreadsheets/d/1C3CXT74ZlgGe6_JY_1olB1XN4rF0dxEuIIF-xsYjHgg/edit?usp=sharing"",""พรบ!AJ66"")"),0)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IFERROR(__xludf.DUMMYFUNCTION("IMPORTRANGE(""https://docs.google.com/spreadsheets/d/1C3CXT74ZlgGe6_JY_1olB1XN4rF0dxEuIIF-xsYjHgg/edit?usp=sharing"",""พรบ!AK66"")"),0)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IFERROR(__xludf.DUMMYFUNCTION("IMPORTRANGE(""https://docs.google.com/spreadsheets/d/1C3CXT74ZlgGe6_JY_1olB1XN4rF0dxEuIIF-xsYjHgg/edit?usp=sharing"",""กปร!D66"")"),0)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IFERROR(__xludf.DUMMYFUNCTION("IMPORTRANGE(""https://docs.google.com/spreadsheets/d/1C3CXT74ZlgGe6_JY_1olB1XN4rF0dxEuIIF-xsYjHgg/edit?usp=sharing"",""พรบ!AL66"")"),0)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IFERROR(__xludf.DUMMYFUNCTION("IMPORTRANGE(""https://docs.google.com/spreadsheets/d/1C3CXT74ZlgGe6_JY_1olB1XN4rF0dxEuIIF-xsYjHgg/edit?usp=sharing"",""กปร!E66"")"),0)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6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5000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6900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6900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IFERROR(__xludf.DUMMYFUNCTION("IMPORTRANGE(""https://docs.google.com/spreadsheets/d/1C3CXT74ZlgGe6_JY_1olB1XN4rF0dxEuIIF-xsYjHgg/edit?usp=sharing"",""พรบ!AM66"")"),6900)</f>
        <v>6900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1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1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1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IFERROR(__xludf.DUMMYFUNCTION("IMPORTRANGE(""https://docs.google.com/spreadsheets/d/1C3CXT74ZlgGe6_JY_1olB1XN4rF0dxEuIIF-xsYjHgg/edit?usp=sharing"",""พรบ!AO66"")"),5000)</f>
        <v>5000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IFERROR(__xludf.DUMMYFUNCTION("IMPORTRANGE(""https://docs.google.com/spreadsheets/d/1C3CXT74ZlgGe6_JY_1olB1XN4rF0dxEuIIF-xsYjHgg/edit?usp=sharing"",""พรบ!AP66"")"),5000)</f>
        <v>5000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IFERROR(__xludf.DUMMYFUNCTION("IMPORTRANGE(""https://docs.google.com/spreadsheets/d/1C3CXT74ZlgGe6_JY_1olB1XN4rF0dxEuIIF-xsYjHgg/edit?usp=sharing"",""กปร!F66"")"),2900)</f>
        <v>2900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IFERROR(__xludf.DUMMYFUNCTION("IMPORTRANGE(""https://docs.google.com/spreadsheets/d/1C3CXT74ZlgGe6_JY_1olB1XN4rF0dxEuIIF-xsYjHgg/edit?usp=sharing"",""พรบ!AQ66"")"),0)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IFERROR(__xludf.DUMMYFUNCTION("IMPORTRANGE(""https://docs.google.com/spreadsheets/d/1C3CXT74ZlgGe6_JY_1olB1XN4rF0dxEuIIF-xsYjHgg/edit?usp=sharing"",""กปร!G66"")"),0)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229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20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200800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200800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47"/>
      <c r="K132" s="48"/>
      <c r="L132" s="52">
        <f ca="1">IFERROR(__xludf.DUMMYFUNCTION("IMPORTRANGE(""https://docs.google.com/spreadsheets/d/1C3CXT74ZlgGe6_JY_1olB1XN4rF0dxEuIIF-xsYjHgg/edit?usp=sharing"",""พรบ!AR66"")"),200800)</f>
        <v>200800</v>
      </c>
      <c r="M132" s="53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47"/>
      <c r="K133" s="48"/>
      <c r="L133" s="60"/>
      <c r="M133" s="60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7">
        <v>0</v>
      </c>
      <c r="K134" s="48"/>
      <c r="L134" s="60"/>
      <c r="M134" s="60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7">
        <v>1</v>
      </c>
      <c r="K135" s="48"/>
      <c r="L135" s="60" t="s">
        <v>21</v>
      </c>
      <c r="M135" s="60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7">
        <v>1</v>
      </c>
      <c r="K136" s="48"/>
      <c r="L136" s="60"/>
      <c r="M136" s="60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7">
        <v>1</v>
      </c>
      <c r="K137" s="48"/>
      <c r="L137" s="60"/>
      <c r="M137" s="60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IFERROR(__xludf.DUMMYFUNCTION("IMPORTRANGE(""https://docs.google.com/spreadsheets/d/1C3CXT74ZlgGe6_JY_1olB1XN4rF0dxEuIIF-xsYjHgg/edit?usp=sharing"",""พรบ!AS66"")"),20)</f>
        <v>20</v>
      </c>
      <c r="J138" s="67">
        <v>0</v>
      </c>
      <c r="K138" s="48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IFERROR(__xludf.DUMMYFUNCTION("IMPORTRANGE(""https://docs.google.com/spreadsheets/d/1C3CXT74ZlgGe6_JY_1olB1XN4rF0dxEuIIF-xsYjHgg/edit?usp=sharing"",""กปร!H66"")"),36800)</f>
        <v>36800</v>
      </c>
      <c r="M138" s="361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48"/>
      <c r="L139" s="60"/>
      <c r="M139" s="60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IFERROR(__xludf.DUMMYFUNCTION("IMPORTRANGE(""https://docs.google.com/spreadsheets/d/1C3CXT74ZlgGe6_JY_1olB1XN4rF0dxEuIIF-xsYjHgg/edit?usp=sharing"",""พรบ!AT66"")"),1)</f>
        <v>1</v>
      </c>
      <c r="J140" s="66">
        <v>0</v>
      </c>
      <c r="K140" s="48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IFERROR(__xludf.DUMMYFUNCTION("IMPORTRANGE(""https://docs.google.com/spreadsheets/d/1C3CXT74ZlgGe6_JY_1olB1XN4rF0dxEuIIF-xsYjHgg/edit?usp=sharing"",""กปร!I66"")"),0)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IFERROR(__xludf.DUMMYFUNCTION("IMPORTRANGE(""https://docs.google.com/spreadsheets/d/1C3CXT74ZlgGe6_JY_1olB1XN4rF0dxEuIIF-xsYjHgg/edit?usp=sharing"",""พรบ!AU66"")"),0)</f>
        <v>0</v>
      </c>
      <c r="J141" s="67">
        <v>0</v>
      </c>
      <c r="K141" s="48">
        <f t="shared" ca="1" si="34"/>
        <v>0</v>
      </c>
      <c r="L141" s="52">
        <f ca="1">IFERROR(__xludf.DUMMYFUNCTION("IMPORTRANGE(""https://docs.google.com/spreadsheets/d/1C3CXT74ZlgGe6_JY_1olB1XN4rF0dxEuIIF-xsYjHgg/edit?usp=sharing"",""กปร!J66"")"),10000)</f>
        <v>10000</v>
      </c>
      <c r="M141" s="361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7">
        <v>0</v>
      </c>
      <c r="K142" s="48"/>
      <c r="L142" s="60"/>
      <c r="M142" s="60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112">
        <v>0</v>
      </c>
      <c r="K143" s="113"/>
      <c r="L143" s="114"/>
      <c r="M143" s="114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13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19295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19295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IFERROR(__xludf.DUMMYFUNCTION("IMPORTRANGE(""https://docs.google.com/spreadsheets/d/1C3CXT74ZlgGe6_JY_1olB1XN4rF0dxEuIIF-xsYjHgg/edit?usp=sharing"",""พรบ!AY66"")"),19295)</f>
        <v>19295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13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1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1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IFERROR(__xludf.DUMMYFUNCTION("IMPORTRANGE(""https://docs.google.com/spreadsheets/d/1C3CXT74ZlgGe6_JY_1olB1XN4rF0dxEuIIF-xsYjHgg/edit?usp=sharing"",""พรบ!BA66"")"),13)</f>
        <v>13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66"/>
      <c r="K172" s="232"/>
      <c r="L172" s="52">
        <f ca="1">IFERROR(__xludf.DUMMYFUNCTION("IMPORTRANGE(""https://docs.google.com/spreadsheets/d/1C3CXT74ZlgGe6_JY_1olB1XN4rF0dxEuIIF-xsYjHgg/edit?usp=sharing"",""พรบ!BD66"")"),0)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66"/>
      <c r="K173" s="232"/>
      <c r="L173" s="52">
        <f ca="1">IFERROR(__xludf.DUMMYFUNCTION("IMPORTRANGE(""https://docs.google.com/spreadsheets/d/1C3CXT74ZlgGe6_JY_1olB1XN4rF0dxEuIIF-xsYjHgg/edit?usp=sharing"",""พรบ!BE66"")"),0)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IFERROR(__xludf.DUMMYFUNCTION("IMPORTRANGE(""https://docs.google.com/spreadsheets/d/1C3CXT74ZlgGe6_JY_1olB1XN4rF0dxEuIIF-xsYjHgg/edit?usp=sharing"",""พรบ!BF66"")"),0)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IFERROR(__xludf.DUMMYFUNCTION("IMPORTRANGE(""https://docs.google.com/spreadsheets/d/1C3CXT74ZlgGe6_JY_1olB1XN4rF0dxEuIIF-xsYjHgg/edit?usp=sharing"",""พรบ!BG66"")"),0)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IFERROR(__xludf.DUMMYFUNCTION("IMPORTRANGE(""https://docs.google.com/spreadsheets/d/1C3CXT74ZlgGe6_JY_1olB1XN4rF0dxEuIIF-xsYjHgg/edit?usp=sharing"",""พรบ!BH66"")"),0)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IFERROR(__xludf.DUMMYFUNCTION("IMPORTRANGE(""https://docs.google.com/spreadsheets/d/1C3CXT74ZlgGe6_JY_1olB1XN4rF0dxEuIIF-xsYjHgg/edit?usp=sharing"",""พรบ!BI66"")"),0)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7">
        <v>0</v>
      </c>
      <c r="K184" s="358"/>
      <c r="L184" s="359"/>
      <c r="M184" s="359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0</v>
      </c>
      <c r="J185" s="177">
        <f>+J195</f>
        <v>0</v>
      </c>
      <c r="K185" s="178">
        <f ca="1">IF(I185&gt;0,J185*100/I185,0)</f>
        <v>0</v>
      </c>
      <c r="L185" s="179">
        <f ca="1">L186+L187</f>
        <v>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66"/>
      <c r="K186" s="232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66"/>
      <c r="K187" s="232"/>
      <c r="L187" s="49">
        <f t="shared" ref="L187:M187" ca="1" si="43">SUM(L188:L189)</f>
        <v>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66"/>
      <c r="K188" s="232"/>
      <c r="L188" s="52">
        <f ca="1">IFERROR(__xludf.DUMMYFUNCTION("IMPORTRANGE(""https://docs.google.com/spreadsheets/d/1C3CXT74ZlgGe6_JY_1olB1XN4rF0dxEuIIF-xsYjHgg/edit?usp=sharing"",""พรบ!BK66"")"),0)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66"/>
      <c r="K189" s="232"/>
      <c r="L189" s="52">
        <f ca="1">IFERROR(__xludf.DUMMYFUNCTION("IMPORTRANGE(""https://docs.google.com/spreadsheets/d/1C3CXT74ZlgGe6_JY_1olB1XN4rF0dxEuIIF-xsYjHgg/edit?usp=sharing"",""พรบ!BL66"")"),0)</f>
        <v>0</v>
      </c>
      <c r="M189" s="52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66"/>
      <c r="K190" s="232"/>
      <c r="L190" s="52"/>
      <c r="M190" s="52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6">
        <v>0</v>
      </c>
      <c r="K191" s="232"/>
      <c r="L191" s="52"/>
      <c r="M191" s="52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6">
        <v>0</v>
      </c>
      <c r="K192" s="232"/>
      <c r="L192" s="52"/>
      <c r="M192" s="52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6">
        <v>0</v>
      </c>
      <c r="K193" s="232"/>
      <c r="L193" s="52"/>
      <c r="M193" s="52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6">
        <v>0</v>
      </c>
      <c r="K194" s="232"/>
      <c r="L194" s="52"/>
      <c r="M194" s="52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IFERROR(__xludf.DUMMYFUNCTION("IMPORTRANGE(""https://docs.google.com/spreadsheets/d/1C3CXT74ZlgGe6_JY_1olB1XN4rF0dxEuIIF-xsYjHgg/edit?usp=sharing"",""พรบ!BM66"")"),0)</f>
        <v>0</v>
      </c>
      <c r="J195" s="66">
        <v>0</v>
      </c>
      <c r="K195" s="232">
        <f ca="1">IF(I195&gt;0,J195*100/I195,0)</f>
        <v>0</v>
      </c>
      <c r="L195" s="52"/>
      <c r="M195" s="52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6">
        <v>0</v>
      </c>
      <c r="K196" s="232"/>
      <c r="L196" s="52"/>
      <c r="M196" s="52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356">
        <v>0</v>
      </c>
      <c r="K197" s="232"/>
      <c r="L197" s="52"/>
      <c r="M197" s="52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66"/>
      <c r="K200" s="232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66"/>
      <c r="K201" s="232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66"/>
      <c r="K202" s="232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IFERROR(__xludf.DUMMYFUNCTION("IMPORTRANGE(""https://docs.google.com/spreadsheets/d/1C3CXT74ZlgGe6_JY_1olB1XN4rF0dxEuIIF-xsYjHgg/edit?usp=sharing"",""พรบ!BP66"")"),0)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IFERROR(__xludf.DUMMYFUNCTION("IMPORTRANGE(""https://docs.google.com/spreadsheets/d/1C3CXT74ZlgGe6_JY_1olB1XN4rF0dxEuIIF-xsYjHgg/edit?usp=sharing"",""พรบ!BQ66"")"),0)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IFERROR(__xludf.DUMMYFUNCTION("IMPORTRANGE(""https://docs.google.com/spreadsheets/d/1C3CXT74ZlgGe6_JY_1olB1XN4rF0dxEuIIF-xsYjHgg/edit?usp=sharing"",""พรบ!BR66"")"),0)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66"/>
      <c r="K215" s="232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66"/>
      <c r="K216" s="232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66"/>
      <c r="K217" s="232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IFERROR(__xludf.DUMMYFUNCTION("IMPORTRANGE(""https://docs.google.com/spreadsheets/d/1C3CXT74ZlgGe6_JY_1olB1XN4rF0dxEuIIF-xsYjHgg/edit?usp=sharing"",""พรบ!BU66"")"),0)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IFERROR(__xludf.DUMMYFUNCTION("IMPORTRANGE(""https://docs.google.com/spreadsheets/d/1C3CXT74ZlgGe6_JY_1olB1XN4rF0dxEuIIF-xsYjHgg/edit?usp=sharing"",""พรบ!BV66"")"),0)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0</v>
      </c>
      <c r="J228" s="197">
        <f ca="1">J240</f>
        <v>0</v>
      </c>
      <c r="K228" s="178">
        <f ca="1">IF(I228&gt;0,J228*100/I228,0)</f>
        <v>0</v>
      </c>
      <c r="L228" s="179">
        <f ca="1">L229+L230</f>
        <v>486110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486110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IFERROR(__xludf.DUMMYFUNCTION("IMPORTRANGE(""https://docs.google.com/spreadsheets/d/1C3CXT74ZlgGe6_JY_1olB1XN4rF0dxEuIIF-xsYjHgg/edit?usp=sharing"",""พรบ!BX66"")"),306000)</f>
        <v>306000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IFERROR(__xludf.DUMMYFUNCTION("IMPORTRANGE(""https://docs.google.com/spreadsheets/d/1C3CXT74ZlgGe6_JY_1olB1XN4rF0dxEuIIF-xsYjHgg/edit?usp=sharing"",""พรบ!BY66"")"),180110)</f>
        <v>180110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IFERROR(__xludf.DUMMYFUNCTION("IMPORTRANGE(""https://docs.google.com/spreadsheets/d/1AGHcLOeeYFL3K4b9R1dSzyJy00PE_ra89DNTVfnxSWM/edit?usp=sharing"",""รวมที่ทำกิน!J55"")"),0)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IFERROR(__xludf.DUMMYFUNCTION("IMPORTRANGE(""https://docs.google.com/spreadsheets/d/1C3CXT74ZlgGe6_JY_1olB1XN4rF0dxEuIIF-xsYjHgg/edit?usp=sharing"",""พรบ!BZ66"")"),0)</f>
        <v>0</v>
      </c>
      <c r="J235" s="66">
        <f ca="1">IFERROR(__xludf.DUMMYFUNCTION("IMPORTRANGE(""https://docs.google.com/spreadsheets/d/1AGHcLOeeYFL3K4b9R1dSzyJy00PE_ra89DNTVfnxSWM/edit?usp=sharing"",""รวมที่ทำกิน!L55"")"),0)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IFERROR(__xludf.DUMMYFUNCTION("IMPORTRANGE(""https://docs.google.com/spreadsheets/d/1C3CXT74ZlgGe6_JY_1olB1XN4rF0dxEuIIF-xsYjHgg/edit?usp=sharing"",""พรบ!CA66"")"),0)</f>
        <v>0</v>
      </c>
      <c r="J236" s="66">
        <f ca="1">IFERROR(__xludf.DUMMYFUNCTION("IMPORTRANGE(""https://docs.google.com/spreadsheets/d/1AGHcLOeeYFL3K4b9R1dSzyJy00PE_ra89DNTVfnxSWM/edit?usp=sharing"",""รวมที่ทำกิน!O55"")"),0)</f>
        <v>0</v>
      </c>
      <c r="K236" s="200">
        <f t="shared" ca="1" si="52"/>
        <v>0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IFERROR(__xludf.DUMMYFUNCTION("IMPORTRANGE(""https://docs.google.com/spreadsheets/d/1AGHcLOeeYFL3K4b9R1dSzyJy00PE_ra89DNTVfnxSWM/edit?usp=sharing"",""รวมที่ทำกิน!Q55"")"),0)</f>
        <v>0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IFERROR(__xludf.DUMMYFUNCTION("IMPORTRANGE(""https://docs.google.com/spreadsheets/d/1C3CXT74ZlgGe6_JY_1olB1XN4rF0dxEuIIF-xsYjHgg/edit?usp=sharing"",""พรบ!CB66"")"),0)</f>
        <v>0</v>
      </c>
      <c r="J238" s="66">
        <f ca="1">IFERROR(__xludf.DUMMYFUNCTION("IMPORTRANGE(""https://docs.google.com/spreadsheets/d/1AGHcLOeeYFL3K4b9R1dSzyJy00PE_ra89DNTVfnxSWM/edit?usp=sharing"",""รวมที่ทำกิน!S55"")"),0)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IFERROR(__xludf.DUMMYFUNCTION("IMPORTRANGE(""https://docs.google.com/spreadsheets/d/1AGHcLOeeYFL3K4b9R1dSzyJy00PE_ra89DNTVfnxSWM/edit?usp=sharing"",""รวมที่ทำกิน!U55"")"),0)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IFERROR(__xludf.DUMMYFUNCTION("IMPORTRANGE(""https://docs.google.com/spreadsheets/d/1C3CXT74ZlgGe6_JY_1olB1XN4rF0dxEuIIF-xsYjHgg/edit?usp=sharing"",""พรบ!CC66"")"),0)</f>
        <v>0</v>
      </c>
      <c r="J240" s="66">
        <f ca="1">IFERROR(__xludf.DUMMYFUNCTION("IMPORTRANGE(""https://docs.google.com/spreadsheets/d/1AGHcLOeeYFL3K4b9R1dSzyJy00PE_ra89DNTVfnxSWM/edit?usp=sharing"",""รวมที่ทำกิน!W55"")"),0)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IFERROR(__xludf.DUMMYFUNCTION("IMPORTRANGE(""https://docs.google.com/spreadsheets/d/1AGHcLOeeYFL3K4b9R1dSzyJy00PE_ra89DNTVfnxSWM/edit?usp=sharing"",""รวมที่ทำกิน!Y55"")"),0)</f>
        <v>0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354600</v>
      </c>
      <c r="M242" s="213">
        <f t="shared" si="53"/>
        <v>0</v>
      </c>
      <c r="N242" s="213">
        <f ca="1">+IF(L242&gt;0,M242*100/L242,0)</f>
        <v>0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0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IFERROR(__xludf.DUMMYFUNCTION("IMPORTRANGE(""https://docs.google.com/spreadsheets/d/1C3CXT74ZlgGe6_JY_1olB1XN4rF0dxEuIIF-xsYjHgg/edit?usp=sharing"",""งบกองทุน!d66"")"),0)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IFERROR(__xludf.DUMMYFUNCTION("IMPORTRANGE(""https://docs.google.com/spreadsheets/d/1C3CXT74ZlgGe6_JY_1olB1XN4rF0dxEuIIF-xsYjHgg/edit?usp=sharing"",""งบกองทุน!e66"")"),0)</f>
        <v>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2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2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2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2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66"/>
      <c r="K254" s="232"/>
      <c r="L254" s="52"/>
      <c r="M254" s="52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6">
        <v>0</v>
      </c>
      <c r="K255" s="232"/>
      <c r="L255" s="52"/>
      <c r="M255" s="52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6">
        <v>0</v>
      </c>
      <c r="K256" s="232"/>
      <c r="L256" s="52" t="s">
        <v>21</v>
      </c>
      <c r="M256" s="52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6">
        <v>0</v>
      </c>
      <c r="K257" s="232"/>
      <c r="L257" s="52"/>
      <c r="M257" s="52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6">
        <v>0</v>
      </c>
      <c r="K258" s="232"/>
      <c r="L258" s="52"/>
      <c r="M258" s="52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232"/>
      <c r="L259" s="52"/>
      <c r="M259" s="52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IFERROR(__xludf.DUMMYFUNCTION("IMPORTRANGE(""https://docs.google.com/spreadsheets/d/1C3CXT74ZlgGe6_JY_1olB1XN4rF0dxEuIIF-xsYjHgg/edit?usp=sharing"",""งบกองทุน!f66"")"),0)</f>
        <v>0</v>
      </c>
      <c r="J260" s="66">
        <v>0</v>
      </c>
      <c r="K260" s="232">
        <f ca="1">IF(I260&gt;0,J260*100/I260,0)</f>
        <v>0</v>
      </c>
      <c r="L260" s="52"/>
      <c r="M260" s="52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232"/>
      <c r="L261" s="52"/>
      <c r="M261" s="52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0</v>
      </c>
      <c r="J262" s="66">
        <f t="shared" si="59"/>
        <v>0</v>
      </c>
      <c r="K262" s="232">
        <f t="shared" ref="K262:K268" ca="1" si="60">IF(I262&gt;0,J262*100/I262,0)</f>
        <v>0</v>
      </c>
      <c r="L262" s="52"/>
      <c r="M262" s="52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IFERROR(__xludf.DUMMYFUNCTION("IMPORTRANGE(""https://docs.google.com/spreadsheets/d/1C3CXT74ZlgGe6_JY_1olB1XN4rF0dxEuIIF-xsYjHgg/edit?usp=sharing"",""งบกองทุน!H66"")"),0)</f>
        <v>0</v>
      </c>
      <c r="J263" s="66">
        <f>J267</f>
        <v>0</v>
      </c>
      <c r="K263" s="232">
        <f t="shared" ca="1" si="60"/>
        <v>0</v>
      </c>
      <c r="L263" s="52"/>
      <c r="M263" s="52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IFERROR(__xludf.DUMMYFUNCTION("IMPORTRANGE(""https://docs.google.com/spreadsheets/d/1C3CXT74ZlgGe6_JY_1olB1XN4rF0dxEuIIF-xsYjHgg/edit?usp=sharing"",""งบกองทุน!i66"")"),0)</f>
        <v>0</v>
      </c>
      <c r="J264" s="66">
        <v>0</v>
      </c>
      <c r="K264" s="232">
        <f t="shared" ca="1" si="60"/>
        <v>0</v>
      </c>
      <c r="L264" s="52"/>
      <c r="M264" s="52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0</v>
      </c>
      <c r="J265" s="66">
        <v>0</v>
      </c>
      <c r="K265" s="232">
        <f t="shared" ca="1" si="60"/>
        <v>0</v>
      </c>
      <c r="L265" s="52"/>
      <c r="M265" s="52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IFERROR(__xludf.DUMMYFUNCTION("IMPORTRANGE(""https://docs.google.com/spreadsheets/d/1C3CXT74ZlgGe6_JY_1olB1XN4rF0dxEuIIF-xsYjHgg/edit?usp=sharing"",""งบกองทุน!k66"")"),0)</f>
        <v>0</v>
      </c>
      <c r="J266" s="66">
        <v>0</v>
      </c>
      <c r="K266" s="232">
        <f t="shared" ca="1" si="60"/>
        <v>0</v>
      </c>
      <c r="L266" s="52"/>
      <c r="M266" s="52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0</v>
      </c>
      <c r="J267" s="66">
        <v>0</v>
      </c>
      <c r="K267" s="232">
        <f t="shared" ca="1" si="60"/>
        <v>0</v>
      </c>
      <c r="L267" s="52"/>
      <c r="M267" s="52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IFERROR(__xludf.DUMMYFUNCTION("IMPORTRANGE(""https://docs.google.com/spreadsheets/d/1C3CXT74ZlgGe6_JY_1olB1XN4rF0dxEuIIF-xsYjHgg/edit?usp=sharing"",""งบกองทุน!m66"")"),0)</f>
        <v>0</v>
      </c>
      <c r="J268" s="66">
        <v>0</v>
      </c>
      <c r="K268" s="232">
        <f t="shared" ca="1" si="60"/>
        <v>0</v>
      </c>
      <c r="L268" s="52"/>
      <c r="M268" s="52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232"/>
      <c r="L269" s="52"/>
      <c r="M269" s="52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0</v>
      </c>
      <c r="J270" s="66">
        <f t="shared" si="61"/>
        <v>0</v>
      </c>
      <c r="K270" s="232">
        <f t="shared" ref="K270:K272" ca="1" si="62">IF(I270&gt;0,J270*100/I270,0)</f>
        <v>0</v>
      </c>
      <c r="L270" s="52"/>
      <c r="M270" s="52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IFERROR(__xludf.DUMMYFUNCTION("IMPORTRANGE(""https://docs.google.com/spreadsheets/d/1C3CXT74ZlgGe6_JY_1olB1XN4rF0dxEuIIF-xsYjHgg/edit?usp=sharing"",""งบกองทุน!o66"")"),0)</f>
        <v>0</v>
      </c>
      <c r="J271" s="66">
        <v>0</v>
      </c>
      <c r="K271" s="232">
        <f t="shared" ca="1" si="62"/>
        <v>0</v>
      </c>
      <c r="L271" s="52"/>
      <c r="M271" s="52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IFERROR(__xludf.DUMMYFUNCTION("IMPORTRANGE(""https://docs.google.com/spreadsheets/d/1C3CXT74ZlgGe6_JY_1olB1XN4rF0dxEuIIF-xsYjHgg/edit?usp=sharing"",""งบกองทุน!p66"")"),0)</f>
        <v>0</v>
      </c>
      <c r="J272" s="66">
        <v>0</v>
      </c>
      <c r="K272" s="232">
        <f t="shared" ca="1" si="62"/>
        <v>0</v>
      </c>
      <c r="L272" s="52"/>
      <c r="M272" s="52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6">
        <v>0</v>
      </c>
      <c r="K273" s="232"/>
      <c r="L273" s="52"/>
      <c r="M273" s="52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356">
        <v>0</v>
      </c>
      <c r="K274" s="232"/>
      <c r="L274" s="52"/>
      <c r="M274" s="52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IFERROR(__xludf.DUMMYFUNCTION("IMPORTRANGE(""https://docs.google.com/spreadsheets/d/1C3CXT74ZlgGe6_JY_1olB1XN4rF0dxEuIIF-xsYjHgg/edit?usp=sharing"",""งบกองทุน!r66"")"),0)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IFERROR(__xludf.DUMMYFUNCTION("IMPORTRANGE(""https://docs.google.com/spreadsheets/d/1C3CXT74ZlgGe6_JY_1olB1XN4rF0dxEuIIF-xsYjHgg/edit?usp=sharing"",""งบกองทุน!s66"")"),0)</f>
        <v>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2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2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2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2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66"/>
      <c r="K285" s="232"/>
      <c r="L285" s="52"/>
      <c r="M285" s="52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6">
        <v>0</v>
      </c>
      <c r="K286" s="232"/>
      <c r="L286" s="52"/>
      <c r="M286" s="52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6">
        <v>0</v>
      </c>
      <c r="K287" s="232"/>
      <c r="L287" s="52" t="s">
        <v>21</v>
      </c>
      <c r="M287" s="52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6">
        <v>0</v>
      </c>
      <c r="K288" s="232"/>
      <c r="L288" s="52"/>
      <c r="M288" s="52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6">
        <v>0</v>
      </c>
      <c r="K289" s="232"/>
      <c r="L289" s="52"/>
      <c r="M289" s="52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232"/>
      <c r="L290" s="52"/>
      <c r="M290" s="52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IFERROR(__xludf.DUMMYFUNCTION("IMPORTRANGE(""https://docs.google.com/spreadsheets/d/1C3CXT74ZlgGe6_JY_1olB1XN4rF0dxEuIIF-xsYjHgg/edit?usp=sharing"",""งบกองทุน!v66"")"),0)</f>
        <v>0</v>
      </c>
      <c r="J291" s="66">
        <v>0</v>
      </c>
      <c r="K291" s="232">
        <f t="shared" ref="K291:K293" ca="1" si="67">IF(I291&gt;0,J291*100/I291,0)</f>
        <v>0</v>
      </c>
      <c r="L291" s="52"/>
      <c r="M291" s="52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IFERROR(__xludf.DUMMYFUNCTION("IMPORTRANGE(""https://docs.google.com/spreadsheets/d/1C3CXT74ZlgGe6_JY_1olB1XN4rF0dxEuIIF-xsYjHgg/edit?usp=sharing"",""งบกองทุน!w66"")"),0)</f>
        <v>0</v>
      </c>
      <c r="J292" s="66">
        <v>0</v>
      </c>
      <c r="K292" s="232">
        <f t="shared" ca="1" si="67"/>
        <v>0</v>
      </c>
      <c r="L292" s="52"/>
      <c r="M292" s="52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IFERROR(__xludf.DUMMYFUNCTION("IMPORTRANGE(""https://docs.google.com/spreadsheets/d/1C3CXT74ZlgGe6_JY_1olB1XN4rF0dxEuIIF-xsYjHgg/edit?usp=sharing"",""งบกองทุน!x66"")"),0)</f>
        <v>0</v>
      </c>
      <c r="J293" s="66">
        <v>0</v>
      </c>
      <c r="K293" s="232">
        <f t="shared" ca="1" si="67"/>
        <v>0</v>
      </c>
      <c r="L293" s="52"/>
      <c r="M293" s="52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6">
        <v>0</v>
      </c>
      <c r="K294" s="232"/>
      <c r="L294" s="52"/>
      <c r="M294" s="52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356">
        <v>0</v>
      </c>
      <c r="K295" s="232"/>
      <c r="L295" s="52"/>
      <c r="M295" s="52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150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130250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50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130250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IFERROR(__xludf.DUMMYFUNCTION("IMPORTRANGE(""https://docs.google.com/spreadsheets/d/1C3CXT74ZlgGe6_JY_1olB1XN4rF0dxEuIIF-xsYjHgg/edit?usp=sharing"",""งบกองทุน!z66"")"),0)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IFERROR(__xludf.DUMMYFUNCTION("IMPORTRANGE(""https://docs.google.com/spreadsheets/d/1C3CXT74ZlgGe6_JY_1olB1XN4rF0dxEuIIF-xsYjHgg/edit?usp=sharing"",""งบกองทุน!aa66"")"),130250)</f>
        <v>130250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1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1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50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IFERROR(__xludf.DUMMYFUNCTION("IMPORTRANGE(""https://docs.google.com/spreadsheets/d/1C3CXT74ZlgGe6_JY_1olB1XN4rF0dxEuIIF-xsYjHgg/edit?usp=sharing"",""งบกองทุน!ae66"")"),0)</f>
        <v>0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IFERROR(__xludf.DUMMYFUNCTION("IMPORTRANGE(""https://docs.google.com/spreadsheets/d/1C3CXT74ZlgGe6_JY_1olB1XN4rF0dxEuIIF-xsYjHgg/edit?usp=sharing"",""งบกองทุน!ad66"")"),0)</f>
        <v>0</v>
      </c>
      <c r="J313" s="78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IFERROR(__xludf.DUMMYFUNCTION("IMPORTRANGE(""https://docs.google.com/spreadsheets/d/1C3CXT74ZlgGe6_JY_1olB1XN4rF0dxEuIIF-xsYjHgg/edit?usp=sharing"",""งบกองทุน!af66"")"),0)</f>
        <v>0</v>
      </c>
      <c r="J314" s="66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IFERROR(__xludf.DUMMYFUNCTION("IMPORTRANGE(""https://docs.google.com/spreadsheets/d/1C3CXT74ZlgGe6_JY_1olB1XN4rF0dxEuIIF-xsYjHgg/edit?usp=sharing"",""งบกองทุน!ag66"")"),0)</f>
        <v>0</v>
      </c>
      <c r="J315" s="111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IFERROR(__xludf.DUMMYFUNCTION("IMPORTRANGE(""https://docs.google.com/spreadsheets/d/1C3CXT74ZlgGe6_JY_1olB1XN4rF0dxEuIIF-xsYjHgg/edit?usp=sharing"",""งบกองทุน!ai66"")"),40)</f>
        <v>40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IFERROR(__xludf.DUMMYFUNCTION("IMPORTRANGE(""https://docs.google.com/spreadsheets/d/1C3CXT74ZlgGe6_JY_1olB1XN4rF0dxEuIIF-xsYjHgg/edit?usp=sharing"",""งบกองทุน!ah66"")"),120)</f>
        <v>120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IFERROR(__xludf.DUMMYFUNCTION("IMPORTRANGE(""https://docs.google.com/spreadsheets/d/1C3CXT74ZlgGe6_JY_1olB1XN4rF0dxEuIIF-xsYjHgg/edit?usp=sharing"",""งบกองทุน!aj66"")"),40)</f>
        <v>40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IFERROR(__xludf.DUMMYFUNCTION("IMPORTRANGE(""https://docs.google.com/spreadsheets/d/1C3CXT74ZlgGe6_JY_1olB1XN4rF0dxEuIIF-xsYjHgg/edit?usp=sharing"",""งบกองทุน!ak66"")"),40)</f>
        <v>40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IFERROR(__xludf.DUMMYFUNCTION("IMPORTRANGE(""https://docs.google.com/spreadsheets/d/1C3CXT74ZlgGe6_JY_1olB1XN4rF0dxEuIIF-xsYjHgg/edit?usp=sharing"",""งบกองทุน!al66"")"),40)</f>
        <v>40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IFERROR(__xludf.DUMMYFUNCTION("IMPORTRANGE(""https://docs.google.com/spreadsheets/d/1C3CXT74ZlgGe6_JY_1olB1XN4rF0dxEuIIF-xsYjHgg/edit?usp=sharing"",""งบกองทุน!an66"")"),10)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IFERROR(__xludf.DUMMYFUNCTION("IMPORTRANGE(""https://docs.google.com/spreadsheets/d/1C3CXT74ZlgGe6_JY_1olB1XN4rF0dxEuIIF-xsYjHgg/edit?usp=sharing"",""งบกองทุน!am66"")"),30)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IFERROR(__xludf.DUMMYFUNCTION("IMPORTRANGE(""https://docs.google.com/spreadsheets/d/1C3CXT74ZlgGe6_JY_1olB1XN4rF0dxEuIIF-xsYjHgg/edit?usp=sharing"",""งบกองทุน!ao66"")"),10)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IFERROR(__xludf.DUMMYFUNCTION("IMPORTRANGE(""https://docs.google.com/spreadsheets/d/1C3CXT74ZlgGe6_JY_1olB1XN4rF0dxEuIIF-xsYjHgg/edit?usp=sharing"",""งบกองทุน!ap66"")"),10)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40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IFERROR(__xludf.DUMMYFUNCTION("IMPORTRANGE(""https://docs.google.com/spreadsheets/d/1C3CXT74ZlgGe6_JY_1olB1XN4rF0dxEuIIF-xsYjHgg/edit?usp=sharing"",""งบกองทุน!ar66"")"),0)</f>
        <v>0</v>
      </c>
      <c r="J326" s="66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IFERROR(__xludf.DUMMYFUNCTION("IMPORTRANGE(""https://docs.google.com/spreadsheets/d/1C3CXT74ZlgGe6_JY_1olB1XN4rF0dxEuIIF-xsYjHgg/edit?usp=sharing"",""งบกองทุน!as66"")"),40)</f>
        <v>40</v>
      </c>
      <c r="J327" s="67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10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71000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71000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IFERROR(__xludf.DUMMYFUNCTION("IMPORTRANGE(""https://docs.google.com/spreadsheets/d/1C3CXT74ZlgGe6_JY_1olB1XN4rF0dxEuIIF-xsYjHgg/edit?usp=sharing"",""งบกองทุน!au66"")"),0)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IFERROR(__xludf.DUMMYFUNCTION("IMPORTRANGE(""https://docs.google.com/spreadsheets/d/1C3CXT74ZlgGe6_JY_1olB1XN4rF0dxEuIIF-xsYjHgg/edit?usp=sharing"",""งบกองทุน!av66"")"),71000)</f>
        <v>71000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1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10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IFERROR(__xludf.DUMMYFUNCTION("IMPORTRANGE(""https://docs.google.com/spreadsheets/d/1C3CXT74ZlgGe6_JY_1olB1XN4rF0dxEuIIF-xsYjHgg/edit?usp=sharing"",""งบกองทุน!ay66"")"),10)</f>
        <v>10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IFERROR(__xludf.DUMMYFUNCTION("IMPORTRANGE(""https://docs.google.com/spreadsheets/d/1C3CXT74ZlgGe6_JY_1olB1XN4rF0dxEuIIF-xsYjHgg/edit?usp=sharing"",""งบกองทุน!az66"")"),0)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IFERROR(__xludf.DUMMYFUNCTION("IMPORTRANGE(""https://docs.google.com/spreadsheets/d/1C3CXT74ZlgGe6_JY_1olB1XN4rF0dxEuIIF-xsYjHgg/edit?usp=sharing"",""งบกองทุน!Ba66"")"),0)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0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0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0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IFERROR(__xludf.DUMMYFUNCTION("IMPORTRANGE(""https://docs.google.com/spreadsheets/d/1C3CXT74ZlgGe6_JY_1olB1XN4rF0dxEuIIF-xsYjHgg/edit?usp=sharing"",""งบกองทุน!Bc66"")"),0)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IFERROR(__xludf.DUMMYFUNCTION("IMPORTRANGE(""https://docs.google.com/spreadsheets/d/1C3CXT74ZlgGe6_JY_1olB1XN4rF0dxEuIIF-xsYjHgg/edit?usp=sharing"",""งบกองทุน!Bd66"")"),0)</f>
        <v>0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2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2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IFERROR(__xludf.DUMMYFUNCTION("IMPORTRANGE(""https://docs.google.com/spreadsheets/d/1C3CXT74ZlgGe6_JY_1olB1XN4rF0dxEuIIF-xsYjHgg/edit?usp=sharing"",""งบกองทุน!BE66"")"),0)</f>
        <v>0</v>
      </c>
      <c r="J359" s="136">
        <f>+J376</f>
        <v>0</v>
      </c>
      <c r="K359" s="137">
        <f t="shared" ref="K359:K408" ca="1" si="82">IF(I359&gt;0,J359*100/I359,0)</f>
        <v>0</v>
      </c>
      <c r="L359" s="139"/>
      <c r="M359" s="4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IFERROR(__xludf.DUMMYFUNCTION("IMPORTRANGE(""https://docs.google.com/spreadsheets/d/1C3CXT74ZlgGe6_JY_1olB1XN4rF0dxEuIIF-xsYjHgg/edit?usp=sharing"",""งบกองทุน!BE66"")"),0)</f>
        <v>0</v>
      </c>
      <c r="J360" s="265">
        <f t="shared" ref="J360:J361" si="83">+J362+J364+J366</f>
        <v>0</v>
      </c>
      <c r="K360" s="79">
        <f t="shared" ca="1" si="82"/>
        <v>0</v>
      </c>
      <c r="L360" s="60"/>
      <c r="M360" s="52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IFERROR(__xludf.DUMMYFUNCTION("IMPORTRANGE(""https://docs.google.com/spreadsheets/d/1C3CXT74ZlgGe6_JY_1olB1XN4rF0dxEuIIF-xsYjHgg/edit?usp=sharing"",""งบกองทุน!Bf66"")"),0)</f>
        <v>0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6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6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6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6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6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6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0</v>
      </c>
      <c r="J368" s="78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47">
        <f ca="1">I361</f>
        <v>0</v>
      </c>
      <c r="J369" s="78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6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6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6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6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6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6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0</v>
      </c>
      <c r="J376" s="78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47">
        <f ca="1">I361</f>
        <v>0</v>
      </c>
      <c r="J377" s="78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6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6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6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6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78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78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6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6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6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6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6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6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IFERROR(__xludf.DUMMYFUNCTION("IMPORTRANGE(""https://docs.google.com/spreadsheets/d/1C3CXT74ZlgGe6_JY_1olB1XN4rF0dxEuIIF-xsYjHgg/edit?usp=sharing"",""งบกองทุน!cd66"")"),0)</f>
        <v>0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IFERROR(__xludf.DUMMYFUNCTION("IMPORTRANGE(""https://docs.google.com/spreadsheets/d/1C3CXT74ZlgGe6_JY_1olB1XN4rF0dxEuIIF-xsYjHgg/edit?usp=sharing"",""งบกองทุน!cd66"")"),0)</f>
        <v>0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IFERROR(__xludf.DUMMYFUNCTION("IMPORTRANGE(""https://docs.google.com/spreadsheets/d/1C3CXT74ZlgGe6_JY_1olB1XN4rF0dxEuIIF-xsYjHgg/edit?usp=sharing"",""งบกองทุน!cc66"")"),0)</f>
        <v>0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6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6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6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6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6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6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66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66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6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6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6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6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6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6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IFERROR(__xludf.DUMMYFUNCTION("IMPORTRANGE(""https://docs.google.com/spreadsheets/d/1C3CXT74ZlgGe6_JY_1olB1XN4rF0dxEuIIF-xsYjHgg/edit?usp=sharing"",""งบกองทุน!cz66"")"),0)</f>
        <v>0</v>
      </c>
      <c r="J409" s="136">
        <v>0</v>
      </c>
      <c r="K409" s="137"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IFERROR(__xludf.DUMMYFUNCTION("IMPORTRANGE(""https://docs.google.com/spreadsheets/d/1C3CXT74ZlgGe6_JY_1olB1XN4rF0dxEuIIF-xsYjHgg/edit?usp=sharing"",""งบกองทุน!cz66"")"),0)</f>
        <v>0</v>
      </c>
      <c r="J410" s="149">
        <v>0</v>
      </c>
      <c r="K410" s="146"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IFERROR(__xludf.DUMMYFUNCTION("IMPORTRANGE(""https://docs.google.com/spreadsheets/d/1C3CXT74ZlgGe6_JY_1olB1XN4rF0dxEuIIF-xsYjHgg/edit?usp=sharing"",""งบกองทุน!cy66"")"),0)</f>
        <v>0</v>
      </c>
      <c r="J411" s="149">
        <v>0</v>
      </c>
      <c r="K411" s="146"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IFERROR(__xludf.DUMMYFUNCTION("IMPORTRANGE(""https://docs.google.com/spreadsheets/d/1C3CXT74ZlgGe6_JY_1olB1XN4rF0dxEuIIF-xsYjHgg/edit?usp=sharing"",""งบกองทุน!db66"")"),0)</f>
        <v>0</v>
      </c>
      <c r="K412" s="48"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IFERROR(__xludf.DUMMYFUNCTION("IMPORTRANGE(""https://docs.google.com/spreadsheets/d/1C3CXT74ZlgGe6_JY_1olB1XN4rF0dxEuIIF-xsYjHgg/edit?usp=sharing"",""งบกองทุน!da66"")"),0)</f>
        <v>0</v>
      </c>
      <c r="K413" s="48"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IFERROR(__xludf.DUMMYFUNCTION("IMPORTRANGE(""https://docs.google.com/spreadsheets/d/1C3CXT74ZlgGe6_JY_1olB1XN4rF0dxEuIIF-xsYjHgg/edit?usp=sharing"",""งบกองทุน!dd66"")"),0)</f>
        <v>0</v>
      </c>
      <c r="K414" s="48"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IFERROR(__xludf.DUMMYFUNCTION("IMPORTRANGE(""https://docs.google.com/spreadsheets/d/1C3CXT74ZlgGe6_JY_1olB1XN4rF0dxEuIIF-xsYjHgg/edit?usp=sharing"",""งบกองทุน!dc66"")"),0)</f>
        <v>0</v>
      </c>
      <c r="K415" s="48"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IFERROR(__xludf.DUMMYFUNCTION("IMPORTRANGE(""https://docs.google.com/spreadsheets/d/1C3CXT74ZlgGe6_JY_1olB1XN4rF0dxEuIIF-xsYjHgg/edit?usp=sharing"",""งบกองทุน!df66"")"),0)</f>
        <v>0</v>
      </c>
      <c r="K416" s="48"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IFERROR(__xludf.DUMMYFUNCTION("IMPORTRANGE(""https://docs.google.com/spreadsheets/d/1C3CXT74ZlgGe6_JY_1olB1XN4rF0dxEuIIF-xsYjHgg/edit?usp=sharing"",""งบกองทุน!de66"")"),0)</f>
        <v>0</v>
      </c>
      <c r="K417" s="48"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4">
        <v>0</v>
      </c>
      <c r="J425" s="300">
        <v>0</v>
      </c>
      <c r="K425" s="301"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20</v>
      </c>
      <c r="J426" s="257">
        <f t="shared" si="91"/>
        <v>0</v>
      </c>
      <c r="K426" s="258">
        <f ca="1">IF(I426&gt;0,J426*100/I426,0)</f>
        <v>0</v>
      </c>
      <c r="L426" s="259">
        <f t="shared" ref="L426:M426" ca="1" si="92">SUM(L427:L428)</f>
        <v>32640</v>
      </c>
      <c r="M426" s="259">
        <f t="shared" si="92"/>
        <v>0</v>
      </c>
      <c r="N426" s="259">
        <f t="shared" ref="N426:N430" ca="1" si="93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32640</v>
      </c>
      <c r="M428" s="52">
        <f t="shared" si="94"/>
        <v>0</v>
      </c>
      <c r="N428" s="52">
        <f t="shared" ca="1" si="93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IFERROR(__xludf.DUMMYFUNCTION("IMPORTRANGE(""https://docs.google.com/spreadsheets/d/1C3CXT74ZlgGe6_JY_1olB1XN4rF0dxEuIIF-xsYjHgg/edit?usp=sharing"",""งบกองทุน!dn66"")"),0)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IFERROR(__xludf.DUMMYFUNCTION("IMPORTRANGE(""https://docs.google.com/spreadsheets/d/1C3CXT74ZlgGe6_JY_1olB1XN4rF0dxEuIIF-xsYjHgg/edit?usp=sharing"",""งบกองทุน!do66"")"),32640)</f>
        <v>32640</v>
      </c>
      <c r="M430" s="52">
        <f>SUM(M431:M434)</f>
        <v>0</v>
      </c>
      <c r="N430" s="52">
        <f t="shared" ca="1" si="93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1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IFERROR(__xludf.DUMMYFUNCTION("IMPORTRANGE(""https://docs.google.com/spreadsheets/d/1C3CXT74ZlgGe6_JY_1olB1XN4rF0dxEuIIF-xsYjHgg/edit?usp=sharing"",""งบกองทุน!dq66"")"),20)</f>
        <v>20</v>
      </c>
      <c r="J440" s="67">
        <v>0</v>
      </c>
      <c r="K440" s="48">
        <f t="shared" ref="K440:K441" ca="1" si="95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IFERROR(__xludf.DUMMYFUNCTION("IMPORTRANGE(""https://docs.google.com/spreadsheets/d/1C3CXT74ZlgGe6_JY_1olB1XN4rF0dxEuIIF-xsYjHgg/edit?usp=sharing"",""งบกองทุน!dr66"")"),20)</f>
        <v>20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IFERROR(__xludf.DUMMYFUNCTION("IMPORTRANGE(""https://docs.google.com/spreadsheets/d/1C3CXT74ZlgGe6_JY_1olB1XN4rF0dxEuIIF-xsYjHgg/edit?usp=sharing"",""งบกองทุน!dt66"")"),0)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IFERROR(__xludf.DUMMYFUNCTION("IMPORTRANGE(""https://docs.google.com/spreadsheets/d/1C3CXT74ZlgGe6_JY_1olB1XN4rF0dxEuIIF-xsYjHgg/edit?usp=sharing"",""งบกองทุน!du66"")"),0)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IFERROR(__xludf.DUMMYFUNCTION("IMPORTRANGE(""https://docs.google.com/spreadsheets/d/1C3CXT74ZlgGe6_JY_1olB1XN4rF0dxEuIIF-xsYjHgg/edit?usp=sharing"",""งบกองทุน!dw66"")"),0)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IFERROR(__xludf.DUMMYFUNCTION("IMPORTRANGE(""https://docs.google.com/spreadsheets/d/1C3CXT74ZlgGe6_JY_1olB1XN4rF0dxEuIIF-xsYjHgg/edit?usp=sharing"",""งบกองทุน!dx66"")"),0)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IFERROR(__xludf.DUMMYFUNCTION("IMPORTRANGE(""https://docs.google.com/spreadsheets/d/1C3CXT74ZlgGe6_JY_1olB1XN4rF0dxEuIIF-xsYjHgg/edit?usp=sharing"",""งบกองทุน!dy66"")"),0)</f>
        <v>0</v>
      </c>
      <c r="J455" s="66">
        <v>0</v>
      </c>
      <c r="K455" s="232">
        <f t="shared" ca="1" si="100"/>
        <v>0</v>
      </c>
      <c r="L455" s="52"/>
      <c r="M455" s="52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IFERROR(__xludf.DUMMYFUNCTION("IMPORTRANGE(""https://docs.google.com/spreadsheets/d/1C3CXT74ZlgGe6_JY_1olB1XN4rF0dxEuIIF-xsYjHgg/edit?usp=sharing"",""งบกองทุน!dz66"")"),0)</f>
        <v>0</v>
      </c>
      <c r="J456" s="66">
        <v>0</v>
      </c>
      <c r="K456" s="232">
        <f t="shared" ca="1" si="100"/>
        <v>0</v>
      </c>
      <c r="L456" s="52"/>
      <c r="M456" s="52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100</v>
      </c>
      <c r="J457" s="226">
        <f>+J466</f>
        <v>0</v>
      </c>
      <c r="K457" s="227">
        <f t="shared" ca="1" si="100"/>
        <v>0</v>
      </c>
      <c r="L457" s="228">
        <f t="shared" ref="L457:M457" ca="1" si="101">SUM(L458:L459)</f>
        <v>116160</v>
      </c>
      <c r="M457" s="228">
        <f t="shared" si="101"/>
        <v>0</v>
      </c>
      <c r="N457" s="228">
        <f t="shared" ref="N457:N461" ca="1" si="102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116160</v>
      </c>
      <c r="M459" s="52">
        <f t="shared" si="103"/>
        <v>0</v>
      </c>
      <c r="N459" s="52">
        <f t="shared" ca="1" si="102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IFERROR(__xludf.DUMMYFUNCTION("IMPORTRANGE(""https://docs.google.com/spreadsheets/d/1C3CXT74ZlgGe6_JY_1olB1XN4rF0dxEuIIF-xsYjHgg/edit?usp=sharing"",""งบกองทุน!Eb66"")"),0)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IFERROR(__xludf.DUMMYFUNCTION("IMPORTRANGE(""https://docs.google.com/spreadsheets/d/1C3CXT74ZlgGe6_JY_1olB1XN4rF0dxEuIIF-xsYjHgg/edit?usp=sharing"",""งบกองทุน!Ec66"")"),116160)</f>
        <v>116160</v>
      </c>
      <c r="M461" s="52">
        <f>SUM(M462:M465)</f>
        <v>0</v>
      </c>
      <c r="N461" s="52">
        <f t="shared" ca="1" si="102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IFERROR(__xludf.DUMMYFUNCTION("IMPORTRANGE(""https://docs.google.com/spreadsheets/d/1C3CXT74ZlgGe6_JY_1olB1XN4rF0dxEuIIF-xsYjHgg/edit?usp=sharing"",""งบกองทุน!Ed66"")"),100)</f>
        <v>100</v>
      </c>
      <c r="J466" s="265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0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0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IFERROR(__xludf.DUMMYFUNCTION("IMPORTRANGE(""https://docs.google.com/spreadsheets/d/1C3CXT74ZlgGe6_JY_1olB1XN4rF0dxEuIIF-xsYjHgg/edit?usp=sharing"",""งบกองทุน!Ek66"")"),0)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IFERROR(__xludf.DUMMYFUNCTION("IMPORTRANGE(""https://docs.google.com/spreadsheets/d/1C3CXT74ZlgGe6_JY_1olB1XN4rF0dxEuIIF-xsYjHgg/edit?usp=sharing"",""งบกองทุน!El66"")"),0)</f>
        <v>0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IFERROR(__xludf.DUMMYFUNCTION("IMPORTRANGE(""https://docs.google.com/spreadsheets/d/1C3CXT74ZlgGe6_JY_1olB1XN4rF0dxEuIIF-xsYjHgg/edit?usp=sharing"",""งบกองทุน!Em66"")"),0)</f>
        <v>0</v>
      </c>
      <c r="J482" s="66">
        <f ca="1">IFERROR(__xludf.DUMMYFUNCTION("IMPORTRANGE(""https://docs.google.com/spreadsheets/d/1AGHcLOeeYFL3K4b9R1dSzyJy00PE_ra89DNTVfnxSWM/edit?usp=sharing"",""รวมที่ชุมชน!G55"")"),0)</f>
        <v>0</v>
      </c>
      <c r="K482" s="48">
        <f t="shared" ref="K482:K489" ca="1" si="107">IF(I482&gt;0,J482*100/I482,0)</f>
        <v>0</v>
      </c>
      <c r="L482" s="60"/>
      <c r="M482" s="52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IFERROR(__xludf.DUMMYFUNCTION("IMPORTRANGE(""https://docs.google.com/spreadsheets/d/1C3CXT74ZlgGe6_JY_1olB1XN4rF0dxEuIIF-xsYjHgg/edit?usp=sharing"",""งบกองทุน!En66"")"),0)</f>
        <v>0</v>
      </c>
      <c r="J483" s="66">
        <f ca="1">IFERROR(__xludf.DUMMYFUNCTION("IMPORTRANGE(""https://docs.google.com/spreadsheets/d/1AGHcLOeeYFL3K4b9R1dSzyJy00PE_ra89DNTVfnxSWM/edit?usp=sharing"",""รวมที่ชุมชน!H55"")"),0)</f>
        <v>0</v>
      </c>
      <c r="K483" s="200">
        <f t="shared" ca="1" si="107"/>
        <v>0</v>
      </c>
      <c r="L483" s="60"/>
      <c r="M483" s="52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IFERROR(__xludf.DUMMYFUNCTION("IMPORTRANGE(""https://docs.google.com/spreadsheets/d/1C3CXT74ZlgGe6_JY_1olB1XN4rF0dxEuIIF-xsYjHgg/edit?usp=sharing"",""งบกองทุน!Eo66"")"),0)</f>
        <v>0</v>
      </c>
      <c r="J484" s="66">
        <f ca="1">IFERROR(__xludf.DUMMYFUNCTION("IMPORTRANGE(""https://docs.google.com/spreadsheets/d/1AGHcLOeeYFL3K4b9R1dSzyJy00PE_ra89DNTVfnxSWM/edit?usp=sharing"",""รวมที่ชุมชน!J55"")"),0)</f>
        <v>0</v>
      </c>
      <c r="K484" s="48">
        <f t="shared" ca="1" si="107"/>
        <v>0</v>
      </c>
      <c r="L484" s="60"/>
      <c r="M484" s="52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IFERROR(__xludf.DUMMYFUNCTION("IMPORTRANGE(""https://docs.google.com/spreadsheets/d/1C3CXT74ZlgGe6_JY_1olB1XN4rF0dxEuIIF-xsYjHgg/edit?usp=sharing"",""งบกองทุน!Ep66"")"),0)</f>
        <v>0</v>
      </c>
      <c r="J485" s="66">
        <f ca="1">IFERROR(__xludf.DUMMYFUNCTION("IMPORTRANGE(""https://docs.google.com/spreadsheets/d/1AGHcLOeeYFL3K4b9R1dSzyJy00PE_ra89DNTVfnxSWM/edit?usp=sharing"",""รวมที่ชุมชน!L55"")"),0)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IFERROR(__xludf.DUMMYFUNCTION("IMPORTRANGE(""https://docs.google.com/spreadsheets/d/1C3CXT74ZlgGe6_JY_1olB1XN4rF0dxEuIIF-xsYjHgg/edit?usp=sharing"",""งบกองทุน!Eq66"")"),0)</f>
        <v>0</v>
      </c>
      <c r="J486" s="66">
        <f ca="1">IFERROR(__xludf.DUMMYFUNCTION("IMPORTRANGE(""https://docs.google.com/spreadsheets/d/1AGHcLOeeYFL3K4b9R1dSzyJy00PE_ra89DNTVfnxSWM/edit?usp=sharing"",""รวมที่ชุมชน!S55"")"),0)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IFERROR(__xludf.DUMMYFUNCTION("IMPORTRANGE(""https://docs.google.com/spreadsheets/d/1C3CXT74ZlgGe6_JY_1olB1XN4rF0dxEuIIF-xsYjHgg/edit?usp=sharing"",""งบกองทุน!Er66"")"),0)</f>
        <v>0</v>
      </c>
      <c r="J487" s="66">
        <f ca="1">IFERROR(__xludf.DUMMYFUNCTION("IMPORTRANGE(""https://docs.google.com/spreadsheets/d/1AGHcLOeeYFL3K4b9R1dSzyJy00PE_ra89DNTVfnxSWM/edit?usp=sharing"",""รวมที่ชุมชน!U55"")"),0)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IFERROR(__xludf.DUMMYFUNCTION("IMPORTRANGE(""https://docs.google.com/spreadsheets/d/1C3CXT74ZlgGe6_JY_1olB1XN4rF0dxEuIIF-xsYjHgg/edit?usp=sharing"",""งบกองทุน!Es66"")"),0)</f>
        <v>0</v>
      </c>
      <c r="J488" s="66">
        <f ca="1">IFERROR(__xludf.DUMMYFUNCTION("IMPORTRANGE(""https://docs.google.com/spreadsheets/d/1AGHcLOeeYFL3K4b9R1dSzyJy00PE_ra89DNTVfnxSWM/edit?usp=sharing"",""รวมที่ชุมชน!V55"")"),0)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IFERROR(__xludf.DUMMYFUNCTION("IMPORTRANGE(""https://docs.google.com/spreadsheets/d/1C3CXT74ZlgGe6_JY_1olB1XN4rF0dxEuIIF-xsYjHgg/edit?usp=sharing"",""งบกองทุน!Et66"")"),0)</f>
        <v>0</v>
      </c>
      <c r="J489" s="111">
        <f ca="1">IFERROR(__xludf.DUMMYFUNCTION("IMPORTRANGE(""https://docs.google.com/spreadsheets/d/1AGHcLOeeYFL3K4b9R1dSzyJy00PE_ra89DNTVfnxSWM/edit?usp=sharing"",""รวมที่ชุมชน!X55"")"),0)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50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4550</v>
      </c>
      <c r="M490" s="259">
        <f>SUM(M491:M492)</f>
        <v>0</v>
      </c>
      <c r="N490" s="259">
        <f t="shared" ref="N490:N494" ca="1" si="109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4550</v>
      </c>
      <c r="M492" s="52">
        <f t="shared" si="110"/>
        <v>0</v>
      </c>
      <c r="N492" s="52">
        <f t="shared" ca="1" si="109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IFERROR(__xludf.DUMMYFUNCTION("IMPORTRANGE(""https://docs.google.com/spreadsheets/d/1C3CXT74ZlgGe6_JY_1olB1XN4rF0dxEuIIF-xsYjHgg/edit?usp=sharing"",""งบกองทุน!Ev66"")"),0)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IFERROR(__xludf.DUMMYFUNCTION("IMPORTRANGE(""https://docs.google.com/spreadsheets/d/1C3CXT74ZlgGe6_JY_1olB1XN4rF0dxEuIIF-xsYjHgg/edit?usp=sharing"",""งบกองทุน!Ew66"")"),4550)</f>
        <v>4550</v>
      </c>
      <c r="M494" s="52">
        <f>SUM(M495:M498)</f>
        <v>0</v>
      </c>
      <c r="N494" s="52">
        <f t="shared" ca="1" si="109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1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IFERROR(__xludf.DUMMYFUNCTION("IMPORTRANGE(""https://docs.google.com/spreadsheets/d/1C3CXT74ZlgGe6_JY_1olB1XN4rF0dxEuIIF-xsYjHgg/edit?usp=sharing"",""งบกองทุน!EZ66"")"),50)</f>
        <v>50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IFERROR(__xludf.DUMMYFUNCTION("IMPORTRANGE(""https://docs.google.com/spreadsheets/d/1C3CXT74ZlgGe6_JY_1olB1XN4rF0dxEuIIF-xsYjHgg/edit?usp=sharing"",""งบกองทุน!ff66"")"),0)</f>
        <v>0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IFERROR(__xludf.DUMMYFUNCTION("IMPORTRANGE(""https://docs.google.com/spreadsheets/d/1muirlRDkqiswvy_NRZ3Yh955hx-PF6_HhssUYiSJj8o/edit?usp=sharing"",""กองทุน!D66"")"),3160000)</f>
        <v>3160000</v>
      </c>
      <c r="J521" s="199">
        <f ca="1">IFERROR(__xludf.DUMMYFUNCTION("IMPORTRANGE(""https://docs.google.com/spreadsheets/d/1muirlRDkqiswvy_NRZ3Yh955hx-PF6_HhssUYiSJj8o/edit?usp=sharing"",""กองทุน!F66"")"),0)</f>
        <v>0</v>
      </c>
      <c r="K521" s="200">
        <f t="shared" ref="K521:K528" ca="1" si="116">IF(I521&gt;0,J521*100/I521,0)</f>
        <v>0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IFERROR(__xludf.DUMMYFUNCTION("IMPORTRANGE(""https://docs.google.com/spreadsheets/d/1muirlRDkqiswvy_NRZ3Yh955hx-PF6_HhssUYiSJj8o/edit?usp=sharing"",""กองทุน!C66"")"),70)</f>
        <v>70</v>
      </c>
      <c r="J522" s="199">
        <f ca="1">IFERROR(__xludf.DUMMYFUNCTION("IMPORTRANGE(""https://docs.google.com/spreadsheets/d/1muirlRDkqiswvy_NRZ3Yh955hx-PF6_HhssUYiSJj8o/edit?usp=sharing"",""กองทุน!E66"")"),0)</f>
        <v>0</v>
      </c>
      <c r="K522" s="200">
        <f t="shared" ca="1" si="116"/>
        <v>0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IFERROR(__xludf.DUMMYFUNCTION("IMPORTRANGE(""https://docs.google.com/spreadsheets/d/1muirlRDkqiswvy_NRZ3Yh955hx-PF6_HhssUYiSJj8o/edit?usp=sharing"",""กองทุน!I66"")"),1274944.38)</f>
        <v>1274944.3799999999</v>
      </c>
      <c r="J523" s="199">
        <f ca="1">IFERROR(__xludf.DUMMYFUNCTION("IMPORTRANGE(""https://docs.google.com/spreadsheets/d/1muirlRDkqiswvy_NRZ3Yh955hx-PF6_HhssUYiSJj8o/edit?usp=sharing"",""กองทุน!K66"")"),83383.28)</f>
        <v>83383.28</v>
      </c>
      <c r="K523" s="200">
        <f t="shared" ca="1" si="116"/>
        <v>6.5401504024826567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IFERROR(__xludf.DUMMYFUNCTION("IMPORTRANGE(""https://docs.google.com/spreadsheets/d/1muirlRDkqiswvy_NRZ3Yh955hx-PF6_HhssUYiSJj8o/edit?usp=sharing"",""กองทุน!H66"")"),31)</f>
        <v>31</v>
      </c>
      <c r="J524" s="199">
        <f ca="1">IFERROR(__xludf.DUMMYFUNCTION("IMPORTRANGE(""https://docs.google.com/spreadsheets/d/1muirlRDkqiswvy_NRZ3Yh955hx-PF6_HhssUYiSJj8o/edit?usp=sharing"",""กองทุน!J66"")"),19)</f>
        <v>19</v>
      </c>
      <c r="K524" s="200">
        <f t="shared" ca="1" si="116"/>
        <v>61.29032258064516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IFERROR(__xludf.DUMMYFUNCTION("IMPORTRANGE(""https://docs.google.com/spreadsheets/d/1muirlRDkqiswvy_NRZ3Yh955hx-PF6_HhssUYiSJj8o/edit?usp=sharing"",""กองทุน!N66"")"),527309.05)</f>
        <v>527309.05000000005</v>
      </c>
      <c r="J525" s="199">
        <f ca="1">IFERROR(__xludf.DUMMYFUNCTION("IMPORTRANGE(""https://docs.google.com/spreadsheets/d/1muirlRDkqiswvy_NRZ3Yh955hx-PF6_HhssUYiSJj8o/edit?usp=sharing"",""กองทุน!P66"")"),4695.48)</f>
        <v>4695.4799999999996</v>
      </c>
      <c r="K525" s="200">
        <f t="shared" ca="1" si="116"/>
        <v>0.89046072696836875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IFERROR(__xludf.DUMMYFUNCTION("IMPORTRANGE(""https://docs.google.com/spreadsheets/d/1muirlRDkqiswvy_NRZ3Yh955hx-PF6_HhssUYiSJj8o/edit?usp=sharing"",""กองทุน!M66"")"),250)</f>
        <v>250</v>
      </c>
      <c r="J526" s="199">
        <f ca="1">IFERROR(__xludf.DUMMYFUNCTION("IMPORTRANGE(""https://docs.google.com/spreadsheets/d/1muirlRDkqiswvy_NRZ3Yh955hx-PF6_HhssUYiSJj8o/edit?usp=sharing"",""กองทุน!O66"")"),2)</f>
        <v>2</v>
      </c>
      <c r="K526" s="200">
        <f t="shared" ca="1" si="116"/>
        <v>0.8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IFERROR(__xludf.DUMMYFUNCTION("IMPORTRANGE(""https://docs.google.com/spreadsheets/d/1muirlRDkqiswvy_NRZ3Yh955hx-PF6_HhssUYiSJj8o/edit?usp=sharing"",""กองทุน!S66"")"),4410000)</f>
        <v>4410000</v>
      </c>
      <c r="J527" s="199">
        <f ca="1">IFERROR(__xludf.DUMMYFUNCTION("IMPORTRANGE(""https://docs.google.com/spreadsheets/d/1muirlRDkqiswvy_NRZ3Yh955hx-PF6_HhssUYiSJj8o/edit?usp=sharing"",""กองทุน!U66"")"),0)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IFERROR(__xludf.DUMMYFUNCTION("IMPORTRANGE(""https://docs.google.com/spreadsheets/d/1muirlRDkqiswvy_NRZ3Yh955hx-PF6_HhssUYiSJj8o/edit?usp=sharing"",""กองทุน!R66"")"),94)</f>
        <v>94</v>
      </c>
      <c r="J528" s="324">
        <f ca="1">IFERROR(__xludf.DUMMYFUNCTION("IMPORTRANGE(""https://docs.google.com/spreadsheets/d/1muirlRDkqiswvy_NRZ3Yh955hx-PF6_HhssUYiSJj8o/edit?usp=sharing"",""กองทุน!T66"")"),0)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22</vt:i4>
      </vt:variant>
    </vt:vector>
  </HeadingPairs>
  <TitlesOfParts>
    <vt:vector size="44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cp:lastPrinted>2021-12-07T06:57:25Z</cp:lastPrinted>
  <dcterms:created xsi:type="dcterms:W3CDTF">2021-12-07T06:17:02Z</dcterms:created>
  <dcterms:modified xsi:type="dcterms:W3CDTF">2022-02-17T06:21:57Z</dcterms:modified>
</cp:coreProperties>
</file>